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 RACEDAY CENTRAL\MEMBERS RESULTS\"/>
    </mc:Choice>
  </mc:AlternateContent>
  <xr:revisionPtr revIDLastSave="0" documentId="13_ncr:1_{5674C220-C583-417F-A7A2-B1923D9DAA73}" xr6:coauthVersionLast="47" xr6:coauthVersionMax="47" xr10:uidLastSave="{00000000-0000-0000-0000-000000000000}"/>
  <bookViews>
    <workbookView xWindow="19665" yWindow="390" windowWidth="33345" windowHeight="26400" activeTab="2" xr2:uid="{3BEC1947-3D8B-40F0-9629-C76829BBDA88}"/>
  </bookViews>
  <sheets>
    <sheet name="Nat and Elite Combo New Algo" sheetId="7" r:id="rId1"/>
    <sheet name="Pivot Nat plus E-Combo" sheetId="9" r:id="rId2"/>
    <sheet name="Nat v E-Combo 2025" sheetId="10" r:id="rId3"/>
  </sheets>
  <definedNames>
    <definedName name="_2_3_4_Bet">#REF!</definedName>
    <definedName name="_2_3_4_Profit">#REF!</definedName>
    <definedName name="_2_3_4_ret">#REF!</definedName>
    <definedName name="_xlnm._FilterDatabase" localSheetId="0" hidden="1">'Nat and Elite Combo New Algo'!$A$6:$M$823</definedName>
    <definedName name="_xlnm._FilterDatabase" localSheetId="2" hidden="1">'Nat v E-Combo 2025'!$D$7:$M$69</definedName>
    <definedName name="aaaaEND">#REF!</definedName>
    <definedName name="AM_Odds">#REF!</definedName>
    <definedName name="Bank">#REF!</definedName>
    <definedName name="BankTemplateIncludeSlowTracks">#REF!</definedName>
    <definedName name="Barr">#REF!</definedName>
    <definedName name="Best_Odds">#REF!</definedName>
    <definedName name="Bottom">#REF!</definedName>
    <definedName name="Claim">#REF!</definedName>
    <definedName name="Combo">#REF!</definedName>
    <definedName name="Combo_BET">#REF!</definedName>
    <definedName name="Combo_Profit">#REF!</definedName>
    <definedName name="Combo_RET">#REF!</definedName>
    <definedName name="Cumul_Uber_Profit">#REF!</definedName>
    <definedName name="D9_">#REF!</definedName>
    <definedName name="D9_Bet">#REF!</definedName>
    <definedName name="D9_Gold">#REF!</definedName>
    <definedName name="D9_Gold_2016_Bet">#REF!</definedName>
    <definedName name="D9_Gold_2016_in_Race">#REF!</definedName>
    <definedName name="D9_Gold_2016_Profit">#REF!</definedName>
    <definedName name="D9_Gold_2016_Ret">#REF!</definedName>
    <definedName name="D9_GOLD_Bet">#REF!</definedName>
    <definedName name="D9_GOLD_Profit">#REF!</definedName>
    <definedName name="D9_GOLD_Ret">#REF!</definedName>
    <definedName name="D9_Hierarchy">#REF!</definedName>
    <definedName name="D9_Profit">#REF!</definedName>
    <definedName name="D9_Ret">#REF!</definedName>
    <definedName name="D9_Special">#REF!</definedName>
    <definedName name="D9_Special_BET">#REF!</definedName>
    <definedName name="D9_Special_PROFIT">#REF!</definedName>
    <definedName name="D9_Special_RET">#REF!</definedName>
    <definedName name="Date">#REF!</definedName>
    <definedName name="Dist">#REF!</definedName>
    <definedName name="Elite_EW">#REF!</definedName>
    <definedName name="Elite_EW_Bet">#REF!</definedName>
    <definedName name="Elite_EW_Profit">#REF!</definedName>
    <definedName name="Elite_EW_Ret">#REF!</definedName>
    <definedName name="Elite_Odds">#REF!</definedName>
    <definedName name="Elite_Top">#REF!</definedName>
    <definedName name="Elite_Top_Bet">#REF!</definedName>
    <definedName name="Elite_Top_Profit">#REF!</definedName>
    <definedName name="Elite_Top_Ret">#REF!</definedName>
    <definedName name="END">#REF!</definedName>
    <definedName name="END_Comparisons">#REF!</definedName>
    <definedName name="END_RACE_BY_RACE">#REF!</definedName>
    <definedName name="ENDtop">#REF!</definedName>
    <definedName name="eRacing_Bet">#REF!</definedName>
    <definedName name="eRacing_Profit">#REF!</definedName>
    <definedName name="eRacing_Ret">#REF!</definedName>
    <definedName name="Fin">#REF!</definedName>
    <definedName name="Flem_Cup_Week_Days_123">#REF!</definedName>
    <definedName name="Flem_Cup_Week_Days_123_">#REF!</definedName>
    <definedName name="Flem_Straight">#REF!</definedName>
    <definedName name="Form_Order">#REF!</definedName>
    <definedName name="Grade">#REF!</definedName>
    <definedName name="Hot_Gold_Zone_Profit">#REF!</definedName>
    <definedName name="Hot_ZONE_?">#REF!</definedName>
    <definedName name="Hot_Zone_Bet">#REF!</definedName>
    <definedName name="Hot_Zone_Profit">#REF!</definedName>
    <definedName name="Hot_Zone_Ret">#REF!</definedName>
    <definedName name="Hot_Zone_Super_Bet">#REF!</definedName>
    <definedName name="Hot_Zone_Super_Ret">#REF!</definedName>
    <definedName name="Lev_Bet">#REF!</definedName>
    <definedName name="Lev_Profit">#REF!</definedName>
    <definedName name="Lev_Ret">#REF!</definedName>
    <definedName name="M_Valley">#REF!</definedName>
    <definedName name="Max_AM_Odds">#REF!</definedName>
    <definedName name="Max_App_Claim">#REF!</definedName>
    <definedName name="Max_Dist">#REF!</definedName>
    <definedName name="Max_Rated_Position">#REF!</definedName>
    <definedName name="Max_Rated_To_Going">#REF!</definedName>
    <definedName name="Min_AM_Odds">#REF!</definedName>
    <definedName name="Min_Dist">#REF!</definedName>
    <definedName name="MmExcelLinker_73B586E7_5D61_4C40_8A5C_1967CE963ABC">#REF!</definedName>
    <definedName name="Month">#REF!</definedName>
    <definedName name="Multi_All_2015">#REF!</definedName>
    <definedName name="Non_Pro_Strat_2_3_4_Rated">#REF!</definedName>
    <definedName name="Pace_of_Horse">#REF!</definedName>
    <definedName name="Pace_Of_Race">#REF!</definedName>
    <definedName name="Place_Div">#REF!</definedName>
    <definedName name="Premium">#REF!</definedName>
    <definedName name="Premium_BET">#REF!</definedName>
    <definedName name="Premium_Profit">#REF!</definedName>
    <definedName name="Premium_RET">#REF!</definedName>
    <definedName name="_xlnm.Print_Titles" localSheetId="0">'Nat and Elite Combo New Algo'!$6:$6</definedName>
    <definedName name="Pro_Final">#REF!</definedName>
    <definedName name="Pro_Final_Bet">#REF!</definedName>
    <definedName name="Pro_Final_Profit">#REF!</definedName>
    <definedName name="Pro_Final_Ret">#REF!</definedName>
    <definedName name="Pro3_">#REF!</definedName>
    <definedName name="Pro3_Bet">#REF!</definedName>
    <definedName name="Pro3_Profit">#REF!</definedName>
    <definedName name="Pro3_Ret">#REF!</definedName>
    <definedName name="Race_ID">#REF!</definedName>
    <definedName name="Rail">#REF!</definedName>
    <definedName name="Rank_Bet_Size_of_D9_Gold_2016_in_Race">#REF!</definedName>
    <definedName name="Rated_Order">#REF!</definedName>
    <definedName name="Rated_To">#REF!</definedName>
    <definedName name="Reject_B_BM">#REF!</definedName>
    <definedName name="Reject_C_Graders">#REF!</definedName>
    <definedName name="Rest.">#REF!</definedName>
    <definedName name="Sandown">#REF!</definedName>
    <definedName name="Scen_Order">#REF!</definedName>
    <definedName name="Spare">#REF!</definedName>
    <definedName name="Spring">#REF!</definedName>
    <definedName name="Summary">#REF!</definedName>
    <definedName name="Super_Bet">#REF!</definedName>
    <definedName name="Super_Mix">#REF!</definedName>
    <definedName name="Super_Mix_Bet">#REF!</definedName>
    <definedName name="Super_Mix_Profit">#REF!</definedName>
    <definedName name="Super_Mix_Ret">#REF!</definedName>
    <definedName name="Super_Race">#REF!</definedName>
    <definedName name="To_Carr">#REF!</definedName>
    <definedName name="Track">#REF!</definedName>
    <definedName name="Type">#REF!</definedName>
    <definedName name="Uber_Bet">#REF!</definedName>
    <definedName name="Uber_EW_Bet">#REF!</definedName>
    <definedName name="Uber_EW_Profit">#REF!</definedName>
    <definedName name="Uber_EW_Return">#REF!</definedName>
    <definedName name="Uber_Place_Bet">#REF!</definedName>
    <definedName name="Uber_Place_Profit">#REF!</definedName>
    <definedName name="Uber_Place_Ret">#REF!</definedName>
    <definedName name="Uber_Profit">#REF!</definedName>
    <definedName name="Uber_Ret">#REF!</definedName>
    <definedName name="Ult_Form">#REF!</definedName>
    <definedName name="Ult_Form_Bet">#REF!</definedName>
    <definedName name="Ult_Form_Profit">#REF!</definedName>
    <definedName name="Ult_Form_Ret">#REF!</definedName>
    <definedName name="Wgt">#REF!</definedName>
    <definedName name="xx">#REF!</definedName>
    <definedName name="Z_0A521F26_2D33_49FA_8A7F_82BF90E22E40_.wvu.Cols" localSheetId="0" hidden="1">'Nat and Elite Combo New Algo'!#REF!,'Nat and Elite Combo New Algo'!#REF!,'Nat and Elite Combo New Algo'!$K:$M</definedName>
    <definedName name="Z_0A521F26_2D33_49FA_8A7F_82BF90E22E40_.wvu.FilterData" localSheetId="0" hidden="1">'Nat and Elite Combo New Algo'!$A$6:$M$823</definedName>
    <definedName name="Z_0A521F26_2D33_49FA_8A7F_82BF90E22E40_.wvu.PrintTitles" localSheetId="0" hidden="1">'Nat and Elite Combo New Algo'!$4:$6</definedName>
    <definedName name="Z_5286D951_2A35_4AAB_8688_784995BF8BA8_.wvu.Cols" localSheetId="0" hidden="1">'Nat and Elite Combo New Algo'!#REF!,'Nat and Elite Combo New Algo'!#REF!,'Nat and Elite Combo New Algo'!#REF!</definedName>
    <definedName name="Z_5286D951_2A35_4AAB_8688_784995BF8BA8_.wvu.FilterData" localSheetId="0" hidden="1">'Nat and Elite Combo New Algo'!$A$6:$M$823</definedName>
    <definedName name="Z_5286D951_2A35_4AAB_8688_784995BF8BA8_.wvu.PrintTitles" localSheetId="0" hidden="1">'Nat and Elite Combo New Algo'!$4:$6</definedName>
  </definedNames>
  <calcPr calcId="191029"/>
  <pivotCaches>
    <pivotCache cacheId="2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8" i="10" l="1"/>
  <c r="AF68" i="10"/>
  <c r="AE68" i="10"/>
  <c r="AD68" i="10"/>
  <c r="Z68" i="10"/>
  <c r="AH68" i="10" s="1"/>
  <c r="V68" i="10"/>
  <c r="T68" i="10"/>
  <c r="P68" i="10"/>
  <c r="M68" i="10"/>
  <c r="L68" i="10"/>
  <c r="K68" i="10"/>
  <c r="Q803" i="7"/>
  <c r="U803" i="7"/>
  <c r="V803" i="7"/>
  <c r="W803" i="7"/>
  <c r="Q804" i="7"/>
  <c r="U804" i="7"/>
  <c r="V804" i="7"/>
  <c r="W804" i="7"/>
  <c r="Q805" i="7"/>
  <c r="R806" i="7" s="1"/>
  <c r="U805" i="7"/>
  <c r="V805" i="7"/>
  <c r="W805" i="7"/>
  <c r="Q806" i="7"/>
  <c r="U806" i="7"/>
  <c r="V806" i="7"/>
  <c r="W806" i="7"/>
  <c r="Q807" i="7"/>
  <c r="U807" i="7"/>
  <c r="V807" i="7"/>
  <c r="W807" i="7"/>
  <c r="Q808" i="7"/>
  <c r="R808" i="7"/>
  <c r="U808" i="7"/>
  <c r="V808" i="7"/>
  <c r="W808" i="7"/>
  <c r="Q809" i="7"/>
  <c r="U809" i="7"/>
  <c r="V809" i="7"/>
  <c r="W809" i="7"/>
  <c r="Q810" i="7"/>
  <c r="U810" i="7"/>
  <c r="V810" i="7"/>
  <c r="W810" i="7"/>
  <c r="Q811" i="7"/>
  <c r="R811" i="7" s="1"/>
  <c r="U811" i="7"/>
  <c r="V811" i="7"/>
  <c r="W811" i="7"/>
  <c r="Q812" i="7"/>
  <c r="U812" i="7"/>
  <c r="V812" i="7"/>
  <c r="W812" i="7"/>
  <c r="Q813" i="7"/>
  <c r="U813" i="7"/>
  <c r="V813" i="7"/>
  <c r="W813" i="7"/>
  <c r="Q814" i="7"/>
  <c r="R814" i="7" s="1"/>
  <c r="U814" i="7"/>
  <c r="V814" i="7"/>
  <c r="W814" i="7"/>
  <c r="Q815" i="7"/>
  <c r="U815" i="7"/>
  <c r="V815" i="7"/>
  <c r="W815" i="7"/>
  <c r="Q816" i="7"/>
  <c r="U816" i="7"/>
  <c r="V816" i="7"/>
  <c r="W816" i="7"/>
  <c r="Q817" i="7"/>
  <c r="U817" i="7"/>
  <c r="V817" i="7"/>
  <c r="W817" i="7"/>
  <c r="Q818" i="7"/>
  <c r="U818" i="7"/>
  <c r="V818" i="7"/>
  <c r="W818" i="7"/>
  <c r="Q819" i="7"/>
  <c r="U819" i="7"/>
  <c r="V819" i="7"/>
  <c r="W819" i="7"/>
  <c r="Q820" i="7"/>
  <c r="U820" i="7"/>
  <c r="V820" i="7"/>
  <c r="W820" i="7"/>
  <c r="Q821" i="7"/>
  <c r="U821" i="7"/>
  <c r="V821" i="7"/>
  <c r="W821" i="7"/>
  <c r="Q822" i="7"/>
  <c r="R822" i="7"/>
  <c r="U822" i="7"/>
  <c r="V822" i="7"/>
  <c r="W822" i="7"/>
  <c r="Q823" i="7"/>
  <c r="U823" i="7"/>
  <c r="V823" i="7"/>
  <c r="W823" i="7"/>
  <c r="O815" i="7"/>
  <c r="O817" i="7"/>
  <c r="O819" i="7"/>
  <c r="O821" i="7"/>
  <c r="O823" i="7"/>
  <c r="O805" i="7"/>
  <c r="O807" i="7"/>
  <c r="P807" i="7"/>
  <c r="O808" i="7"/>
  <c r="O810" i="7"/>
  <c r="O809" i="7"/>
  <c r="O811" i="7"/>
  <c r="O813" i="7"/>
  <c r="O814" i="7"/>
  <c r="O816" i="7"/>
  <c r="O818" i="7"/>
  <c r="O820" i="7"/>
  <c r="O822" i="7"/>
  <c r="S822" i="7" s="1"/>
  <c r="T822" i="7" s="1"/>
  <c r="J823" i="7"/>
  <c r="L823" i="7"/>
  <c r="M823" i="7" s="1"/>
  <c r="J805" i="7"/>
  <c r="L805" i="7"/>
  <c r="M805" i="7" s="1"/>
  <c r="J807" i="7"/>
  <c r="L807" i="7"/>
  <c r="M807" i="7" s="1"/>
  <c r="J808" i="7"/>
  <c r="L808" i="7"/>
  <c r="P808" i="7" s="1"/>
  <c r="J810" i="7"/>
  <c r="L810" i="7"/>
  <c r="M810" i="7" s="1"/>
  <c r="J809" i="7"/>
  <c r="L809" i="7"/>
  <c r="M809" i="7" s="1"/>
  <c r="J811" i="7"/>
  <c r="L811" i="7"/>
  <c r="M811" i="7" s="1"/>
  <c r="J813" i="7"/>
  <c r="L813" i="7"/>
  <c r="M813" i="7" s="1"/>
  <c r="J814" i="7"/>
  <c r="L814" i="7"/>
  <c r="M814" i="7" s="1"/>
  <c r="J816" i="7"/>
  <c r="L816" i="7"/>
  <c r="M816" i="7" s="1"/>
  <c r="J818" i="7"/>
  <c r="L818" i="7"/>
  <c r="M818" i="7" s="1"/>
  <c r="J820" i="7"/>
  <c r="L820" i="7"/>
  <c r="M820" i="7" s="1"/>
  <c r="J822" i="7"/>
  <c r="L822" i="7"/>
  <c r="M822" i="7" s="1"/>
  <c r="O806" i="7"/>
  <c r="O812" i="7"/>
  <c r="L804" i="7"/>
  <c r="M804" i="7" s="1"/>
  <c r="L806" i="7"/>
  <c r="M806" i="7" s="1"/>
  <c r="L812" i="7"/>
  <c r="P812" i="7" s="1"/>
  <c r="M812" i="7"/>
  <c r="L815" i="7"/>
  <c r="M815" i="7" s="1"/>
  <c r="L817" i="7"/>
  <c r="M817" i="7" s="1"/>
  <c r="L819" i="7"/>
  <c r="M819" i="7" s="1"/>
  <c r="L821" i="7"/>
  <c r="P821" i="7" s="1"/>
  <c r="J806" i="7"/>
  <c r="J812" i="7"/>
  <c r="J815" i="7"/>
  <c r="J817" i="7"/>
  <c r="J819" i="7"/>
  <c r="J821" i="7"/>
  <c r="L777" i="7"/>
  <c r="M777" i="7" s="1"/>
  <c r="L778" i="7"/>
  <c r="M778" i="7" s="1"/>
  <c r="L779" i="7"/>
  <c r="M779" i="7" s="1"/>
  <c r="L780" i="7"/>
  <c r="M780" i="7" s="1"/>
  <c r="L781" i="7"/>
  <c r="M781" i="7"/>
  <c r="L782" i="7"/>
  <c r="M782" i="7" s="1"/>
  <c r="L783" i="7"/>
  <c r="M783" i="7" s="1"/>
  <c r="L784" i="7"/>
  <c r="M784" i="7" s="1"/>
  <c r="L785" i="7"/>
  <c r="M785" i="7" s="1"/>
  <c r="L786" i="7"/>
  <c r="M786" i="7"/>
  <c r="L787" i="7"/>
  <c r="M787" i="7" s="1"/>
  <c r="L788" i="7"/>
  <c r="M788" i="7" s="1"/>
  <c r="L789" i="7"/>
  <c r="M789" i="7" s="1"/>
  <c r="L790" i="7"/>
  <c r="M790" i="7" s="1"/>
  <c r="L791" i="7"/>
  <c r="M791" i="7" s="1"/>
  <c r="L792" i="7"/>
  <c r="M792" i="7" s="1"/>
  <c r="L793" i="7"/>
  <c r="M793" i="7" s="1"/>
  <c r="L794" i="7"/>
  <c r="M794" i="7" s="1"/>
  <c r="L795" i="7"/>
  <c r="M795" i="7" s="1"/>
  <c r="L796" i="7"/>
  <c r="M796" i="7" s="1"/>
  <c r="L797" i="7"/>
  <c r="M797" i="7" s="1"/>
  <c r="L798" i="7"/>
  <c r="M798" i="7"/>
  <c r="L799" i="7"/>
  <c r="M799" i="7" s="1"/>
  <c r="L800" i="7"/>
  <c r="M800" i="7" s="1"/>
  <c r="L801" i="7"/>
  <c r="M801" i="7" s="1"/>
  <c r="L802" i="7"/>
  <c r="M802" i="7" s="1"/>
  <c r="L803" i="7"/>
  <c r="M803" i="7" s="1"/>
  <c r="Q776" i="7"/>
  <c r="U776" i="7"/>
  <c r="V776" i="7"/>
  <c r="W776" i="7"/>
  <c r="Q777" i="7"/>
  <c r="U777" i="7"/>
  <c r="V777" i="7"/>
  <c r="W777" i="7"/>
  <c r="Q778" i="7"/>
  <c r="U778" i="7"/>
  <c r="V778" i="7"/>
  <c r="W778" i="7"/>
  <c r="Q779" i="7"/>
  <c r="U779" i="7"/>
  <c r="V779" i="7"/>
  <c r="W779" i="7"/>
  <c r="Q780" i="7"/>
  <c r="U780" i="7"/>
  <c r="V780" i="7"/>
  <c r="W780" i="7"/>
  <c r="Q781" i="7"/>
  <c r="U781" i="7"/>
  <c r="V781" i="7"/>
  <c r="W781" i="7"/>
  <c r="Q782" i="7"/>
  <c r="U782" i="7"/>
  <c r="V782" i="7"/>
  <c r="W782" i="7"/>
  <c r="Q783" i="7"/>
  <c r="U783" i="7"/>
  <c r="V783" i="7"/>
  <c r="W783" i="7"/>
  <c r="Q784" i="7"/>
  <c r="U784" i="7"/>
  <c r="V784" i="7"/>
  <c r="W784" i="7"/>
  <c r="Q785" i="7"/>
  <c r="U785" i="7"/>
  <c r="V785" i="7"/>
  <c r="W785" i="7"/>
  <c r="Q786" i="7"/>
  <c r="U786" i="7"/>
  <c r="V786" i="7"/>
  <c r="W786" i="7"/>
  <c r="Q787" i="7"/>
  <c r="U787" i="7"/>
  <c r="V787" i="7"/>
  <c r="W787" i="7"/>
  <c r="Q788" i="7"/>
  <c r="U788" i="7"/>
  <c r="V788" i="7"/>
  <c r="W788" i="7"/>
  <c r="Q789" i="7"/>
  <c r="U789" i="7"/>
  <c r="V789" i="7"/>
  <c r="W789" i="7"/>
  <c r="Q790" i="7"/>
  <c r="U790" i="7"/>
  <c r="V790" i="7"/>
  <c r="W790" i="7"/>
  <c r="Q791" i="7"/>
  <c r="U791" i="7"/>
  <c r="V791" i="7"/>
  <c r="W791" i="7"/>
  <c r="Q792" i="7"/>
  <c r="U792" i="7"/>
  <c r="V792" i="7"/>
  <c r="W792" i="7"/>
  <c r="Q793" i="7"/>
  <c r="U793" i="7"/>
  <c r="V793" i="7"/>
  <c r="W793" i="7"/>
  <c r="Q794" i="7"/>
  <c r="U794" i="7"/>
  <c r="V794" i="7"/>
  <c r="W794" i="7"/>
  <c r="Q795" i="7"/>
  <c r="U795" i="7"/>
  <c r="V795" i="7"/>
  <c r="W795" i="7"/>
  <c r="Q796" i="7"/>
  <c r="U796" i="7"/>
  <c r="V796" i="7"/>
  <c r="W796" i="7"/>
  <c r="Q797" i="7"/>
  <c r="U797" i="7"/>
  <c r="V797" i="7"/>
  <c r="W797" i="7"/>
  <c r="Q798" i="7"/>
  <c r="U798" i="7"/>
  <c r="V798" i="7"/>
  <c r="W798" i="7"/>
  <c r="Q799" i="7"/>
  <c r="U799" i="7"/>
  <c r="V799" i="7"/>
  <c r="W799" i="7"/>
  <c r="Q800" i="7"/>
  <c r="U800" i="7"/>
  <c r="V800" i="7"/>
  <c r="W800" i="7"/>
  <c r="Q801" i="7"/>
  <c r="U801" i="7"/>
  <c r="V801" i="7"/>
  <c r="W801" i="7"/>
  <c r="Q802" i="7"/>
  <c r="U802" i="7"/>
  <c r="V802" i="7"/>
  <c r="W802" i="7"/>
  <c r="AG67" i="10"/>
  <c r="AF67" i="10"/>
  <c r="AE67" i="10"/>
  <c r="AD67" i="10"/>
  <c r="Z67" i="10"/>
  <c r="V67" i="10"/>
  <c r="T67" i="10"/>
  <c r="P67" i="10"/>
  <c r="M67" i="10"/>
  <c r="L67" i="10"/>
  <c r="K67" i="10"/>
  <c r="O788" i="7"/>
  <c r="O791" i="7"/>
  <c r="O793" i="7"/>
  <c r="O799" i="7"/>
  <c r="O801" i="7"/>
  <c r="O803" i="7"/>
  <c r="O804" i="7"/>
  <c r="R783" i="7" l="1"/>
  <c r="R792" i="7"/>
  <c r="S808" i="7"/>
  <c r="T808" i="7" s="1"/>
  <c r="R823" i="7"/>
  <c r="R787" i="7"/>
  <c r="P823" i="7"/>
  <c r="R819" i="7"/>
  <c r="R816" i="7"/>
  <c r="S819" i="7"/>
  <c r="T819" i="7"/>
  <c r="S823" i="7"/>
  <c r="T823" i="7" s="1"/>
  <c r="R805" i="7"/>
  <c r="S805" i="7" s="1"/>
  <c r="T805" i="7" s="1"/>
  <c r="R780" i="7"/>
  <c r="S780" i="7" s="1"/>
  <c r="R813" i="7"/>
  <c r="S813" i="7" s="1"/>
  <c r="T813" i="7" s="1"/>
  <c r="R784" i="7"/>
  <c r="R817" i="7"/>
  <c r="S817" i="7" s="1"/>
  <c r="T817" i="7" s="1"/>
  <c r="S816" i="7"/>
  <c r="T816" i="7" s="1"/>
  <c r="S811" i="7"/>
  <c r="T811" i="7" s="1"/>
  <c r="S814" i="7"/>
  <c r="T814" i="7" s="1"/>
  <c r="S806" i="7"/>
  <c r="T806" i="7" s="1"/>
  <c r="R812" i="7"/>
  <c r="S812" i="7" s="1"/>
  <c r="R804" i="7"/>
  <c r="R778" i="7"/>
  <c r="R807" i="7"/>
  <c r="S807" i="7" s="1"/>
  <c r="T807" i="7" s="1"/>
  <c r="R815" i="7"/>
  <c r="S815" i="7" s="1"/>
  <c r="P822" i="7"/>
  <c r="P820" i="7"/>
  <c r="R809" i="7"/>
  <c r="S809" i="7" s="1"/>
  <c r="M821" i="7"/>
  <c r="R821" i="7"/>
  <c r="S821" i="7" s="1"/>
  <c r="R786" i="7"/>
  <c r="R818" i="7"/>
  <c r="P816" i="7"/>
  <c r="S818" i="7"/>
  <c r="R810" i="7"/>
  <c r="R803" i="7"/>
  <c r="R820" i="7"/>
  <c r="R795" i="7"/>
  <c r="P819" i="7"/>
  <c r="R781" i="7"/>
  <c r="P805" i="7"/>
  <c r="R789" i="7"/>
  <c r="M808" i="7"/>
  <c r="P818" i="7"/>
  <c r="P815" i="7"/>
  <c r="R785" i="7"/>
  <c r="T785" i="7" s="1"/>
  <c r="P811" i="7"/>
  <c r="P817" i="7"/>
  <c r="P814" i="7"/>
  <c r="P809" i="7"/>
  <c r="R779" i="7"/>
  <c r="R798" i="7"/>
  <c r="R782" i="7"/>
  <c r="P813" i="7"/>
  <c r="P810" i="7"/>
  <c r="P806" i="7"/>
  <c r="R793" i="7"/>
  <c r="S793" i="7" s="1"/>
  <c r="R801" i="7"/>
  <c r="S801" i="7" s="1"/>
  <c r="T801" i="7" s="1"/>
  <c r="R777" i="7"/>
  <c r="R797" i="7"/>
  <c r="R800" i="7"/>
  <c r="R790" i="7"/>
  <c r="R796" i="7"/>
  <c r="R788" i="7"/>
  <c r="S788" i="7" s="1"/>
  <c r="T788" i="7" s="1"/>
  <c r="R799" i="7"/>
  <c r="S799" i="7" s="1"/>
  <c r="R802" i="7"/>
  <c r="R791" i="7"/>
  <c r="S791" i="7" s="1"/>
  <c r="R794" i="7"/>
  <c r="S785" i="7"/>
  <c r="AH67" i="10"/>
  <c r="T818" i="7" l="1"/>
  <c r="S804" i="7"/>
  <c r="T804" i="7" s="1"/>
  <c r="T812" i="7"/>
  <c r="T780" i="7"/>
  <c r="T821" i="7"/>
  <c r="T809" i="7"/>
  <c r="T815" i="7"/>
  <c r="S820" i="7"/>
  <c r="T820" i="7" s="1"/>
  <c r="S803" i="7"/>
  <c r="T803" i="7" s="1"/>
  <c r="S810" i="7"/>
  <c r="T810" i="7"/>
  <c r="T793" i="7"/>
  <c r="T799" i="7"/>
  <c r="T791" i="7"/>
  <c r="O787" i="7"/>
  <c r="S787" i="7" s="1"/>
  <c r="T787" i="7" s="1"/>
  <c r="O790" i="7"/>
  <c r="S790" i="7" s="1"/>
  <c r="T790" i="7" s="1"/>
  <c r="O789" i="7"/>
  <c r="S789" i="7" s="1"/>
  <c r="T789" i="7" s="1"/>
  <c r="O792" i="7"/>
  <c r="S792" i="7" s="1"/>
  <c r="T792" i="7" s="1"/>
  <c r="O794" i="7"/>
  <c r="S794" i="7" s="1"/>
  <c r="T794" i="7" s="1"/>
  <c r="O795" i="7"/>
  <c r="S795" i="7" s="1"/>
  <c r="T795" i="7" s="1"/>
  <c r="O796" i="7"/>
  <c r="S796" i="7" s="1"/>
  <c r="T796" i="7" s="1"/>
  <c r="O797" i="7"/>
  <c r="S797" i="7" s="1"/>
  <c r="T797" i="7" s="1"/>
  <c r="O798" i="7"/>
  <c r="S798" i="7" s="1"/>
  <c r="T798" i="7" s="1"/>
  <c r="O800" i="7"/>
  <c r="S800" i="7" s="1"/>
  <c r="T800" i="7" s="1"/>
  <c r="O802" i="7"/>
  <c r="S802" i="7" s="1"/>
  <c r="T802" i="7" s="1"/>
  <c r="P787" i="7"/>
  <c r="P790" i="7"/>
  <c r="P789" i="7"/>
  <c r="P794" i="7"/>
  <c r="P796" i="7"/>
  <c r="P797" i="7"/>
  <c r="P800" i="7"/>
  <c r="P802" i="7"/>
  <c r="P788" i="7"/>
  <c r="P791" i="7"/>
  <c r="P793" i="7"/>
  <c r="P799" i="7"/>
  <c r="P801" i="7"/>
  <c r="P803" i="7"/>
  <c r="P804" i="7"/>
  <c r="J786" i="7"/>
  <c r="J787" i="7"/>
  <c r="J790" i="7"/>
  <c r="J789" i="7"/>
  <c r="J792" i="7"/>
  <c r="J794" i="7"/>
  <c r="J795" i="7"/>
  <c r="J796" i="7"/>
  <c r="J797" i="7"/>
  <c r="J798" i="7"/>
  <c r="J800" i="7"/>
  <c r="J802" i="7"/>
  <c r="J788" i="7"/>
  <c r="J791" i="7"/>
  <c r="J793" i="7"/>
  <c r="J799" i="7"/>
  <c r="J801" i="7"/>
  <c r="J803" i="7"/>
  <c r="J804" i="7"/>
  <c r="L69" i="10"/>
  <c r="L66" i="10"/>
  <c r="M69" i="10"/>
  <c r="M66" i="10"/>
  <c r="K69" i="10"/>
  <c r="K66" i="10"/>
  <c r="AG65" i="10"/>
  <c r="AF65" i="10"/>
  <c r="AE65" i="10"/>
  <c r="AD65" i="10"/>
  <c r="Z65" i="10"/>
  <c r="V65" i="10"/>
  <c r="T65" i="10"/>
  <c r="P65" i="10"/>
  <c r="M65" i="10"/>
  <c r="L65" i="10"/>
  <c r="K65" i="10"/>
  <c r="AG64" i="10"/>
  <c r="AF64" i="10"/>
  <c r="AE64" i="10"/>
  <c r="AD64" i="10"/>
  <c r="Z64" i="10"/>
  <c r="V64" i="10"/>
  <c r="T64" i="10"/>
  <c r="P64" i="10"/>
  <c r="M64" i="10"/>
  <c r="L64" i="10"/>
  <c r="K64" i="10"/>
  <c r="O758" i="7"/>
  <c r="Q758" i="7"/>
  <c r="U758" i="7"/>
  <c r="V758" i="7"/>
  <c r="W758" i="7"/>
  <c r="O759" i="7"/>
  <c r="Q759" i="7"/>
  <c r="U759" i="7"/>
  <c r="V759" i="7"/>
  <c r="W759" i="7"/>
  <c r="O760" i="7"/>
  <c r="Q760" i="7"/>
  <c r="U760" i="7"/>
  <c r="V760" i="7"/>
  <c r="W760" i="7"/>
  <c r="O761" i="7"/>
  <c r="Q761" i="7"/>
  <c r="U761" i="7"/>
  <c r="V761" i="7"/>
  <c r="W761" i="7"/>
  <c r="O762" i="7"/>
  <c r="Q762" i="7"/>
  <c r="U762" i="7"/>
  <c r="V762" i="7"/>
  <c r="W762" i="7"/>
  <c r="O763" i="7"/>
  <c r="Q763" i="7"/>
  <c r="U763" i="7"/>
  <c r="V763" i="7"/>
  <c r="W763" i="7"/>
  <c r="O764" i="7"/>
  <c r="Q764" i="7"/>
  <c r="U764" i="7"/>
  <c r="V764" i="7"/>
  <c r="W764" i="7"/>
  <c r="O765" i="7"/>
  <c r="Q765" i="7"/>
  <c r="U765" i="7"/>
  <c r="V765" i="7"/>
  <c r="W765" i="7"/>
  <c r="O766" i="7"/>
  <c r="Q766" i="7"/>
  <c r="U766" i="7"/>
  <c r="V766" i="7"/>
  <c r="W766" i="7"/>
  <c r="O767" i="7"/>
  <c r="Q767" i="7"/>
  <c r="U767" i="7"/>
  <c r="V767" i="7"/>
  <c r="W767" i="7"/>
  <c r="O768" i="7"/>
  <c r="Q768" i="7"/>
  <c r="U768" i="7"/>
  <c r="V768" i="7"/>
  <c r="W768" i="7"/>
  <c r="O769" i="7"/>
  <c r="Q769" i="7"/>
  <c r="U769" i="7"/>
  <c r="V769" i="7"/>
  <c r="W769" i="7"/>
  <c r="O770" i="7"/>
  <c r="Q770" i="7"/>
  <c r="U770" i="7"/>
  <c r="V770" i="7"/>
  <c r="W770" i="7"/>
  <c r="O771" i="7"/>
  <c r="Q771" i="7"/>
  <c r="U771" i="7"/>
  <c r="V771" i="7"/>
  <c r="W771" i="7"/>
  <c r="O772" i="7"/>
  <c r="Q772" i="7"/>
  <c r="U772" i="7"/>
  <c r="V772" i="7"/>
  <c r="W772" i="7"/>
  <c r="O773" i="7"/>
  <c r="Q773" i="7"/>
  <c r="U773" i="7"/>
  <c r="V773" i="7"/>
  <c r="W773" i="7"/>
  <c r="O774" i="7"/>
  <c r="Q774" i="7"/>
  <c r="U774" i="7"/>
  <c r="V774" i="7"/>
  <c r="W774" i="7"/>
  <c r="O775" i="7"/>
  <c r="Q775" i="7"/>
  <c r="R776" i="7" s="1"/>
  <c r="U775" i="7"/>
  <c r="V775" i="7"/>
  <c r="W775" i="7"/>
  <c r="O776" i="7"/>
  <c r="O777" i="7"/>
  <c r="S777" i="7" s="1"/>
  <c r="T777" i="7" s="1"/>
  <c r="O778" i="7"/>
  <c r="S778" i="7" s="1"/>
  <c r="T778" i="7" s="1"/>
  <c r="O779" i="7"/>
  <c r="S779" i="7" s="1"/>
  <c r="T779" i="7" s="1"/>
  <c r="O780" i="7"/>
  <c r="O781" i="7"/>
  <c r="S781" i="7" s="1"/>
  <c r="T781" i="7" s="1"/>
  <c r="O782" i="7"/>
  <c r="S782" i="7" s="1"/>
  <c r="T782" i="7" s="1"/>
  <c r="O783" i="7"/>
  <c r="S783" i="7" s="1"/>
  <c r="T783" i="7" s="1"/>
  <c r="O784" i="7"/>
  <c r="S784" i="7" s="1"/>
  <c r="T784" i="7" s="1"/>
  <c r="O785" i="7"/>
  <c r="O786" i="7"/>
  <c r="S786" i="7" s="1"/>
  <c r="T786" i="7" s="1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6" i="7"/>
  <c r="J55" i="7"/>
  <c r="J57" i="7"/>
  <c r="J58" i="7"/>
  <c r="J59" i="7"/>
  <c r="J60" i="7"/>
  <c r="J61" i="7"/>
  <c r="J62" i="7"/>
  <c r="J63" i="7"/>
  <c r="J64" i="7"/>
  <c r="J65" i="7"/>
  <c r="J67" i="7"/>
  <c r="J66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3" i="7"/>
  <c r="J82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6" i="7"/>
  <c r="J185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4" i="7"/>
  <c r="J263" i="7"/>
  <c r="J265" i="7"/>
  <c r="J266" i="7"/>
  <c r="J267" i="7"/>
  <c r="J268" i="7"/>
  <c r="J269" i="7"/>
  <c r="J270" i="7"/>
  <c r="J271" i="7"/>
  <c r="J272" i="7"/>
  <c r="J273" i="7"/>
  <c r="J274" i="7"/>
  <c r="J275" i="7"/>
  <c r="J276" i="7"/>
  <c r="J277" i="7"/>
  <c r="J278" i="7"/>
  <c r="J279" i="7"/>
  <c r="J280" i="7"/>
  <c r="J281" i="7"/>
  <c r="J282" i="7"/>
  <c r="J283" i="7"/>
  <c r="J284" i="7"/>
  <c r="J285" i="7"/>
  <c r="J286" i="7"/>
  <c r="J287" i="7"/>
  <c r="J288" i="7"/>
  <c r="J289" i="7"/>
  <c r="J290" i="7"/>
  <c r="J291" i="7"/>
  <c r="J292" i="7"/>
  <c r="J293" i="7"/>
  <c r="J294" i="7"/>
  <c r="J295" i="7"/>
  <c r="J296" i="7"/>
  <c r="J297" i="7"/>
  <c r="J298" i="7"/>
  <c r="J299" i="7"/>
  <c r="J300" i="7"/>
  <c r="J301" i="7"/>
  <c r="J302" i="7"/>
  <c r="J303" i="7"/>
  <c r="J304" i="7"/>
  <c r="J305" i="7"/>
  <c r="J306" i="7"/>
  <c r="J307" i="7"/>
  <c r="J308" i="7"/>
  <c r="J309" i="7"/>
  <c r="J310" i="7"/>
  <c r="J311" i="7"/>
  <c r="J312" i="7"/>
  <c r="J313" i="7"/>
  <c r="J314" i="7"/>
  <c r="J315" i="7"/>
  <c r="J316" i="7"/>
  <c r="J317" i="7"/>
  <c r="J318" i="7"/>
  <c r="J319" i="7"/>
  <c r="J320" i="7"/>
  <c r="J321" i="7"/>
  <c r="J322" i="7"/>
  <c r="J323" i="7"/>
  <c r="J325" i="7"/>
  <c r="J324" i="7"/>
  <c r="J326" i="7"/>
  <c r="J327" i="7"/>
  <c r="J328" i="7"/>
  <c r="J329" i="7"/>
  <c r="J330" i="7"/>
  <c r="J331" i="7"/>
  <c r="J332" i="7"/>
  <c r="J333" i="7"/>
  <c r="J335" i="7"/>
  <c r="J334" i="7"/>
  <c r="J336" i="7"/>
  <c r="J338" i="7"/>
  <c r="J337" i="7"/>
  <c r="J339" i="7"/>
  <c r="J340" i="7"/>
  <c r="J341" i="7"/>
  <c r="J342" i="7"/>
  <c r="J343" i="7"/>
  <c r="J344" i="7"/>
  <c r="J345" i="7"/>
  <c r="J346" i="7"/>
  <c r="J347" i="7"/>
  <c r="J348" i="7"/>
  <c r="J349" i="7"/>
  <c r="J350" i="7"/>
  <c r="J351" i="7"/>
  <c r="J352" i="7"/>
  <c r="J353" i="7"/>
  <c r="J354" i="7"/>
  <c r="J355" i="7"/>
  <c r="J356" i="7"/>
  <c r="J357" i="7"/>
  <c r="J358" i="7"/>
  <c r="J359" i="7"/>
  <c r="J361" i="7"/>
  <c r="J360" i="7"/>
  <c r="J362" i="7"/>
  <c r="J363" i="7"/>
  <c r="J364" i="7"/>
  <c r="J365" i="7"/>
  <c r="J366" i="7"/>
  <c r="J367" i="7"/>
  <c r="J368" i="7"/>
  <c r="J369" i="7"/>
  <c r="J370" i="7"/>
  <c r="J371" i="7"/>
  <c r="J372" i="7"/>
  <c r="J373" i="7"/>
  <c r="J374" i="7"/>
  <c r="J375" i="7"/>
  <c r="J376" i="7"/>
  <c r="J377" i="7"/>
  <c r="J378" i="7"/>
  <c r="J379" i="7"/>
  <c r="J380" i="7"/>
  <c r="J381" i="7"/>
  <c r="J382" i="7"/>
  <c r="J383" i="7"/>
  <c r="J384" i="7"/>
  <c r="J385" i="7"/>
  <c r="J386" i="7"/>
  <c r="J387" i="7"/>
  <c r="J388" i="7"/>
  <c r="J389" i="7"/>
  <c r="J390" i="7"/>
  <c r="J391" i="7"/>
  <c r="J392" i="7"/>
  <c r="J393" i="7"/>
  <c r="J394" i="7"/>
  <c r="J395" i="7"/>
  <c r="J396" i="7"/>
  <c r="J397" i="7"/>
  <c r="J398" i="7"/>
  <c r="J399" i="7"/>
  <c r="J400" i="7"/>
  <c r="J401" i="7"/>
  <c r="J402" i="7"/>
  <c r="J403" i="7"/>
  <c r="J404" i="7"/>
  <c r="J405" i="7"/>
  <c r="J406" i="7"/>
  <c r="J407" i="7"/>
  <c r="J408" i="7"/>
  <c r="J409" i="7"/>
  <c r="J410" i="7"/>
  <c r="J411" i="7"/>
  <c r="J412" i="7"/>
  <c r="J413" i="7"/>
  <c r="J414" i="7"/>
  <c r="J415" i="7"/>
  <c r="J416" i="7"/>
  <c r="J417" i="7"/>
  <c r="J418" i="7"/>
  <c r="J419" i="7"/>
  <c r="J420" i="7"/>
  <c r="J421" i="7"/>
  <c r="J422" i="7"/>
  <c r="J423" i="7"/>
  <c r="J424" i="7"/>
  <c r="J425" i="7"/>
  <c r="J426" i="7"/>
  <c r="J427" i="7"/>
  <c r="J428" i="7"/>
  <c r="J429" i="7"/>
  <c r="J430" i="7"/>
  <c r="J431" i="7"/>
  <c r="J432" i="7"/>
  <c r="J433" i="7"/>
  <c r="J434" i="7"/>
  <c r="J435" i="7"/>
  <c r="J436" i="7"/>
  <c r="J437" i="7"/>
  <c r="J438" i="7"/>
  <c r="J439" i="7"/>
  <c r="J440" i="7"/>
  <c r="J441" i="7"/>
  <c r="J442" i="7"/>
  <c r="J443" i="7"/>
  <c r="J444" i="7"/>
  <c r="J445" i="7"/>
  <c r="J446" i="7"/>
  <c r="J447" i="7"/>
  <c r="J448" i="7"/>
  <c r="J449" i="7"/>
  <c r="J450" i="7"/>
  <c r="J451" i="7"/>
  <c r="J452" i="7"/>
  <c r="J453" i="7"/>
  <c r="J454" i="7"/>
  <c r="J455" i="7"/>
  <c r="J456" i="7"/>
  <c r="J457" i="7"/>
  <c r="J458" i="7"/>
  <c r="J459" i="7"/>
  <c r="J460" i="7"/>
  <c r="J461" i="7"/>
  <c r="J462" i="7"/>
  <c r="J463" i="7"/>
  <c r="J464" i="7"/>
  <c r="J465" i="7"/>
  <c r="J466" i="7"/>
  <c r="J467" i="7"/>
  <c r="J468" i="7"/>
  <c r="J469" i="7"/>
  <c r="J470" i="7"/>
  <c r="J471" i="7"/>
  <c r="J472" i="7"/>
  <c r="J473" i="7"/>
  <c r="J474" i="7"/>
  <c r="J475" i="7"/>
  <c r="J476" i="7"/>
  <c r="J477" i="7"/>
  <c r="J478" i="7"/>
  <c r="J479" i="7"/>
  <c r="J480" i="7"/>
  <c r="J481" i="7"/>
  <c r="J482" i="7"/>
  <c r="J483" i="7"/>
  <c r="J484" i="7"/>
  <c r="J485" i="7"/>
  <c r="J486" i="7"/>
  <c r="J487" i="7"/>
  <c r="J488" i="7"/>
  <c r="J489" i="7"/>
  <c r="J490" i="7"/>
  <c r="J491" i="7"/>
  <c r="J492" i="7"/>
  <c r="J493" i="7"/>
  <c r="J494" i="7"/>
  <c r="J495" i="7"/>
  <c r="J496" i="7"/>
  <c r="J497" i="7"/>
  <c r="J498" i="7"/>
  <c r="J499" i="7"/>
  <c r="J501" i="7"/>
  <c r="J500" i="7"/>
  <c r="J502" i="7"/>
  <c r="J503" i="7"/>
  <c r="J504" i="7"/>
  <c r="J505" i="7"/>
  <c r="J506" i="7"/>
  <c r="J507" i="7"/>
  <c r="J508" i="7"/>
  <c r="J509" i="7"/>
  <c r="J510" i="7"/>
  <c r="J511" i="7"/>
  <c r="J512" i="7"/>
  <c r="J513" i="7"/>
  <c r="J514" i="7"/>
  <c r="J516" i="7"/>
  <c r="J515" i="7"/>
  <c r="J517" i="7"/>
  <c r="J518" i="7"/>
  <c r="J519" i="7"/>
  <c r="J520" i="7"/>
  <c r="J521" i="7"/>
  <c r="J522" i="7"/>
  <c r="J523" i="7"/>
  <c r="J524" i="7"/>
  <c r="J525" i="7"/>
  <c r="J526" i="7"/>
  <c r="J527" i="7"/>
  <c r="J528" i="7"/>
  <c r="J529" i="7"/>
  <c r="J531" i="7"/>
  <c r="J530" i="7"/>
  <c r="J532" i="7"/>
  <c r="J533" i="7"/>
  <c r="J534" i="7"/>
  <c r="J535" i="7"/>
  <c r="J536" i="7"/>
  <c r="J538" i="7"/>
  <c r="J537" i="7"/>
  <c r="J539" i="7"/>
  <c r="J540" i="7"/>
  <c r="J541" i="7"/>
  <c r="J542" i="7"/>
  <c r="J543" i="7"/>
  <c r="J544" i="7"/>
  <c r="J545" i="7"/>
  <c r="J546" i="7"/>
  <c r="J547" i="7"/>
  <c r="J548" i="7"/>
  <c r="J549" i="7"/>
  <c r="J550" i="7"/>
  <c r="J551" i="7"/>
  <c r="J552" i="7"/>
  <c r="J553" i="7"/>
  <c r="J554" i="7"/>
  <c r="J555" i="7"/>
  <c r="J556" i="7"/>
  <c r="J557" i="7"/>
  <c r="J558" i="7"/>
  <c r="J559" i="7"/>
  <c r="J560" i="7"/>
  <c r="J561" i="7"/>
  <c r="J562" i="7"/>
  <c r="J563" i="7"/>
  <c r="J565" i="7"/>
  <c r="J564" i="7"/>
  <c r="J566" i="7"/>
  <c r="J567" i="7"/>
  <c r="J568" i="7"/>
  <c r="J569" i="7"/>
  <c r="J570" i="7"/>
  <c r="J571" i="7"/>
  <c r="J572" i="7"/>
  <c r="J573" i="7"/>
  <c r="J574" i="7"/>
  <c r="J575" i="7"/>
  <c r="J576" i="7"/>
  <c r="J577" i="7"/>
  <c r="J578" i="7"/>
  <c r="J579" i="7"/>
  <c r="J580" i="7"/>
  <c r="J581" i="7"/>
  <c r="J582" i="7"/>
  <c r="J583" i="7"/>
  <c r="J584" i="7"/>
  <c r="J585" i="7"/>
  <c r="J586" i="7"/>
  <c r="J587" i="7"/>
  <c r="J588" i="7"/>
  <c r="J589" i="7"/>
  <c r="J590" i="7"/>
  <c r="J591" i="7"/>
  <c r="J592" i="7"/>
  <c r="J593" i="7"/>
  <c r="J594" i="7"/>
  <c r="J595" i="7"/>
  <c r="J596" i="7"/>
  <c r="J597" i="7"/>
  <c r="J598" i="7"/>
  <c r="J599" i="7"/>
  <c r="J601" i="7"/>
  <c r="J600" i="7"/>
  <c r="J603" i="7"/>
  <c r="J602" i="7"/>
  <c r="J605" i="7"/>
  <c r="J604" i="7"/>
  <c r="J606" i="7"/>
  <c r="J607" i="7"/>
  <c r="J608" i="7"/>
  <c r="J609" i="7"/>
  <c r="J610" i="7"/>
  <c r="J611" i="7"/>
  <c r="J612" i="7"/>
  <c r="J613" i="7"/>
  <c r="J614" i="7"/>
  <c r="J615" i="7"/>
  <c r="J616" i="7"/>
  <c r="J617" i="7"/>
  <c r="J618" i="7"/>
  <c r="J619" i="7"/>
  <c r="J620" i="7"/>
  <c r="J621" i="7"/>
  <c r="J622" i="7"/>
  <c r="J623" i="7"/>
  <c r="J624" i="7"/>
  <c r="J625" i="7"/>
  <c r="J626" i="7"/>
  <c r="J628" i="7"/>
  <c r="J627" i="7"/>
  <c r="J630" i="7"/>
  <c r="J629" i="7"/>
  <c r="J631" i="7"/>
  <c r="J632" i="7"/>
  <c r="J633" i="7"/>
  <c r="J635" i="7"/>
  <c r="J634" i="7"/>
  <c r="J636" i="7"/>
  <c r="J637" i="7"/>
  <c r="J638" i="7"/>
  <c r="J639" i="7"/>
  <c r="J640" i="7"/>
  <c r="J641" i="7"/>
  <c r="J642" i="7"/>
  <c r="J643" i="7"/>
  <c r="J644" i="7"/>
  <c r="J645" i="7"/>
  <c r="J646" i="7"/>
  <c r="J647" i="7"/>
  <c r="J648" i="7"/>
  <c r="J649" i="7"/>
  <c r="J651" i="7"/>
  <c r="J650" i="7"/>
  <c r="J652" i="7"/>
  <c r="J653" i="7"/>
  <c r="J654" i="7"/>
  <c r="J655" i="7"/>
  <c r="J656" i="7"/>
  <c r="J657" i="7"/>
  <c r="J658" i="7"/>
  <c r="J659" i="7"/>
  <c r="J660" i="7"/>
  <c r="J661" i="7"/>
  <c r="J662" i="7"/>
  <c r="J663" i="7"/>
  <c r="J664" i="7"/>
  <c r="J665" i="7"/>
  <c r="J666" i="7"/>
  <c r="J667" i="7"/>
  <c r="J668" i="7"/>
  <c r="J669" i="7"/>
  <c r="J670" i="7"/>
  <c r="J671" i="7"/>
  <c r="J672" i="7"/>
  <c r="J673" i="7"/>
  <c r="J674" i="7"/>
  <c r="J675" i="7"/>
  <c r="J676" i="7"/>
  <c r="J677" i="7"/>
  <c r="J678" i="7"/>
  <c r="J679" i="7"/>
  <c r="J680" i="7"/>
  <c r="J681" i="7"/>
  <c r="J682" i="7"/>
  <c r="J683" i="7"/>
  <c r="J684" i="7"/>
  <c r="J685" i="7"/>
  <c r="J686" i="7"/>
  <c r="J687" i="7"/>
  <c r="J688" i="7"/>
  <c r="J689" i="7"/>
  <c r="J690" i="7"/>
  <c r="J691" i="7"/>
  <c r="J692" i="7"/>
  <c r="J693" i="7"/>
  <c r="J694" i="7"/>
  <c r="J695" i="7"/>
  <c r="J696" i="7"/>
  <c r="J697" i="7"/>
  <c r="J698" i="7"/>
  <c r="J699" i="7"/>
  <c r="J700" i="7"/>
  <c r="J701" i="7"/>
  <c r="J702" i="7"/>
  <c r="J703" i="7"/>
  <c r="J704" i="7"/>
  <c r="J705" i="7"/>
  <c r="J706" i="7"/>
  <c r="J707" i="7"/>
  <c r="J708" i="7"/>
  <c r="J709" i="7"/>
  <c r="J710" i="7"/>
  <c r="J711" i="7"/>
  <c r="J712" i="7"/>
  <c r="J713" i="7"/>
  <c r="J714" i="7"/>
  <c r="J715" i="7"/>
  <c r="J716" i="7"/>
  <c r="J718" i="7"/>
  <c r="J717" i="7"/>
  <c r="J719" i="7"/>
  <c r="J720" i="7"/>
  <c r="J721" i="7"/>
  <c r="J722" i="7"/>
  <c r="J723" i="7"/>
  <c r="J724" i="7"/>
  <c r="J725" i="7"/>
  <c r="J726" i="7"/>
  <c r="J727" i="7"/>
  <c r="J728" i="7"/>
  <c r="J729" i="7"/>
  <c r="J730" i="7"/>
  <c r="J731" i="7"/>
  <c r="J732" i="7"/>
  <c r="J733" i="7"/>
  <c r="J734" i="7"/>
  <c r="J735" i="7"/>
  <c r="J736" i="7"/>
  <c r="J737" i="7"/>
  <c r="J738" i="7"/>
  <c r="J739" i="7"/>
  <c r="J740" i="7"/>
  <c r="J741" i="7"/>
  <c r="J742" i="7"/>
  <c r="J743" i="7"/>
  <c r="J744" i="7"/>
  <c r="J746" i="7"/>
  <c r="J745" i="7"/>
  <c r="J747" i="7"/>
  <c r="J748" i="7"/>
  <c r="J749" i="7"/>
  <c r="J750" i="7"/>
  <c r="J751" i="7"/>
  <c r="J752" i="7"/>
  <c r="J753" i="7"/>
  <c r="J754" i="7"/>
  <c r="J755" i="7"/>
  <c r="J756" i="7"/>
  <c r="J757" i="7"/>
  <c r="J758" i="7"/>
  <c r="J759" i="7"/>
  <c r="J760" i="7"/>
  <c r="J761" i="7"/>
  <c r="J763" i="7"/>
  <c r="J765" i="7"/>
  <c r="J766" i="7"/>
  <c r="J768" i="7"/>
  <c r="J769" i="7"/>
  <c r="J770" i="7"/>
  <c r="J772" i="7"/>
  <c r="J773" i="7"/>
  <c r="J775" i="7"/>
  <c r="J774" i="7"/>
  <c r="J776" i="7"/>
  <c r="J777" i="7"/>
  <c r="J779" i="7"/>
  <c r="J782" i="7"/>
  <c r="J781" i="7"/>
  <c r="J784" i="7"/>
  <c r="J762" i="7"/>
  <c r="J764" i="7"/>
  <c r="J767" i="7"/>
  <c r="J771" i="7"/>
  <c r="J778" i="7"/>
  <c r="J780" i="7"/>
  <c r="J783" i="7"/>
  <c r="J785" i="7"/>
  <c r="AH65" i="10" l="1"/>
  <c r="S776" i="7"/>
  <c r="T776" i="7" s="1"/>
  <c r="P792" i="7"/>
  <c r="P795" i="7"/>
  <c r="P798" i="7"/>
  <c r="R765" i="7"/>
  <c r="S765" i="7" s="1"/>
  <c r="T765" i="7" s="1"/>
  <c r="R761" i="7"/>
  <c r="S761" i="7" s="1"/>
  <c r="T761" i="7" s="1"/>
  <c r="R770" i="7"/>
  <c r="S770" i="7" s="1"/>
  <c r="T770" i="7" s="1"/>
  <c r="R768" i="7"/>
  <c r="T768" i="7" s="1"/>
  <c r="R775" i="7"/>
  <c r="S775" i="7" s="1"/>
  <c r="T775" i="7" s="1"/>
  <c r="R767" i="7"/>
  <c r="S767" i="7" s="1"/>
  <c r="R764" i="7"/>
  <c r="S764" i="7" s="1"/>
  <c r="T764" i="7" s="1"/>
  <c r="R766" i="7"/>
  <c r="R760" i="7"/>
  <c r="R773" i="7"/>
  <c r="S773" i="7" s="1"/>
  <c r="T773" i="7" s="1"/>
  <c r="R762" i="7"/>
  <c r="S762" i="7" s="1"/>
  <c r="AH64" i="10"/>
  <c r="R772" i="7"/>
  <c r="S772" i="7" s="1"/>
  <c r="T772" i="7" s="1"/>
  <c r="R769" i="7"/>
  <c r="S769" i="7" s="1"/>
  <c r="T769" i="7" s="1"/>
  <c r="R763" i="7"/>
  <c r="S763" i="7" s="1"/>
  <c r="T763" i="7" s="1"/>
  <c r="R774" i="7"/>
  <c r="S774" i="7" s="1"/>
  <c r="T774" i="7" s="1"/>
  <c r="R771" i="7"/>
  <c r="S771" i="7" s="1"/>
  <c r="T771" i="7" s="1"/>
  <c r="R759" i="7"/>
  <c r="S768" i="7" l="1"/>
  <c r="T767" i="7"/>
  <c r="S760" i="7"/>
  <c r="T760" i="7" s="1"/>
  <c r="T762" i="7"/>
  <c r="S766" i="7"/>
  <c r="T766" i="7" s="1"/>
  <c r="S759" i="7"/>
  <c r="T759" i="7" s="1"/>
  <c r="L761" i="7" l="1"/>
  <c r="L763" i="7"/>
  <c r="P763" i="7" s="1"/>
  <c r="L765" i="7"/>
  <c r="L766" i="7"/>
  <c r="L768" i="7"/>
  <c r="P768" i="7" s="1"/>
  <c r="L769" i="7"/>
  <c r="P769" i="7" s="1"/>
  <c r="L770" i="7"/>
  <c r="P770" i="7" s="1"/>
  <c r="L772" i="7"/>
  <c r="P772" i="7" s="1"/>
  <c r="L773" i="7"/>
  <c r="P773" i="7" s="1"/>
  <c r="L775" i="7"/>
  <c r="L774" i="7"/>
  <c r="L776" i="7"/>
  <c r="P777" i="7"/>
  <c r="P781" i="7"/>
  <c r="P784" i="7"/>
  <c r="P786" i="7"/>
  <c r="L762" i="7"/>
  <c r="L764" i="7"/>
  <c r="L767" i="7"/>
  <c r="L771" i="7"/>
  <c r="P771" i="7" s="1"/>
  <c r="P778" i="7"/>
  <c r="P780" i="7"/>
  <c r="P783" i="7"/>
  <c r="P785" i="7"/>
  <c r="M773" i="7" l="1"/>
  <c r="M776" i="7"/>
  <c r="P776" i="7"/>
  <c r="M774" i="7"/>
  <c r="P774" i="7"/>
  <c r="M772" i="7"/>
  <c r="M775" i="7"/>
  <c r="P775" i="7"/>
  <c r="M767" i="7"/>
  <c r="P767" i="7"/>
  <c r="M766" i="7"/>
  <c r="P766" i="7"/>
  <c r="P782" i="7"/>
  <c r="M764" i="7"/>
  <c r="P764" i="7"/>
  <c r="M765" i="7"/>
  <c r="P765" i="7"/>
  <c r="M762" i="7"/>
  <c r="P762" i="7"/>
  <c r="P779" i="7"/>
  <c r="M761" i="7"/>
  <c r="P761" i="7"/>
  <c r="M770" i="7"/>
  <c r="M769" i="7"/>
  <c r="M763" i="7"/>
  <c r="M768" i="7"/>
  <c r="M771" i="7"/>
  <c r="AG66" i="10" l="1"/>
  <c r="AF66" i="10"/>
  <c r="AE66" i="10"/>
  <c r="AD66" i="10"/>
  <c r="Z66" i="10"/>
  <c r="V66" i="10"/>
  <c r="T66" i="10"/>
  <c r="P66" i="10"/>
  <c r="O745" i="7"/>
  <c r="Q745" i="7"/>
  <c r="U745" i="7"/>
  <c r="V745" i="7"/>
  <c r="W745" i="7"/>
  <c r="O747" i="7"/>
  <c r="Q747" i="7"/>
  <c r="U747" i="7"/>
  <c r="V747" i="7"/>
  <c r="W747" i="7"/>
  <c r="O748" i="7"/>
  <c r="Q748" i="7"/>
  <c r="U748" i="7"/>
  <c r="V748" i="7"/>
  <c r="W748" i="7"/>
  <c r="O753" i="7"/>
  <c r="Q753" i="7"/>
  <c r="U753" i="7"/>
  <c r="V753" i="7"/>
  <c r="W753" i="7"/>
  <c r="O757" i="7"/>
  <c r="Q757" i="7"/>
  <c r="R758" i="7" s="1"/>
  <c r="S758" i="7" s="1"/>
  <c r="T758" i="7" s="1"/>
  <c r="U757" i="7"/>
  <c r="V757" i="7"/>
  <c r="W757" i="7"/>
  <c r="O749" i="7"/>
  <c r="Q749" i="7"/>
  <c r="U749" i="7"/>
  <c r="V749" i="7"/>
  <c r="W749" i="7"/>
  <c r="O751" i="7"/>
  <c r="Q751" i="7"/>
  <c r="U751" i="7"/>
  <c r="V751" i="7"/>
  <c r="W751" i="7"/>
  <c r="O756" i="7"/>
  <c r="Q756" i="7"/>
  <c r="U756" i="7"/>
  <c r="V756" i="7"/>
  <c r="W756" i="7"/>
  <c r="O754" i="7"/>
  <c r="Q754" i="7"/>
  <c r="U754" i="7"/>
  <c r="V754" i="7"/>
  <c r="W754" i="7"/>
  <c r="O755" i="7"/>
  <c r="Q755" i="7"/>
  <c r="U755" i="7"/>
  <c r="V755" i="7"/>
  <c r="W755" i="7"/>
  <c r="O750" i="7"/>
  <c r="Q750" i="7"/>
  <c r="U750" i="7"/>
  <c r="V750" i="7"/>
  <c r="W750" i="7"/>
  <c r="O752" i="7"/>
  <c r="Q752" i="7"/>
  <c r="U752" i="7"/>
  <c r="V752" i="7"/>
  <c r="W752" i="7"/>
  <c r="L745" i="7"/>
  <c r="M745" i="7" s="1"/>
  <c r="L747" i="7"/>
  <c r="M747" i="7" s="1"/>
  <c r="L748" i="7"/>
  <c r="M748" i="7" s="1"/>
  <c r="L753" i="7"/>
  <c r="P753" i="7" s="1"/>
  <c r="L757" i="7"/>
  <c r="M757" i="7" s="1"/>
  <c r="L749" i="7"/>
  <c r="P749" i="7" s="1"/>
  <c r="L751" i="7"/>
  <c r="M751" i="7" s="1"/>
  <c r="L756" i="7"/>
  <c r="M756" i="7" s="1"/>
  <c r="L758" i="7"/>
  <c r="L754" i="7"/>
  <c r="P754" i="7" s="1"/>
  <c r="L759" i="7"/>
  <c r="L755" i="7"/>
  <c r="M755" i="7" s="1"/>
  <c r="L750" i="7"/>
  <c r="P750" i="7" s="1"/>
  <c r="L752" i="7"/>
  <c r="P752" i="7" s="1"/>
  <c r="L760" i="7"/>
  <c r="P760" i="7" s="1"/>
  <c r="AD69" i="10"/>
  <c r="AG69" i="10"/>
  <c r="AF69" i="10"/>
  <c r="AE69" i="10"/>
  <c r="AD63" i="10"/>
  <c r="AG63" i="10"/>
  <c r="AF63" i="10"/>
  <c r="AE63" i="10"/>
  <c r="Z51" i="10"/>
  <c r="Z52" i="10"/>
  <c r="Z53" i="10"/>
  <c r="Z54" i="10"/>
  <c r="Z55" i="10"/>
  <c r="Z56" i="10"/>
  <c r="Z57" i="10"/>
  <c r="Z58" i="10"/>
  <c r="Z59" i="10"/>
  <c r="Z60" i="10"/>
  <c r="Z61" i="10"/>
  <c r="Z62" i="10"/>
  <c r="Z63" i="10"/>
  <c r="Z69" i="10"/>
  <c r="V9" i="10"/>
  <c r="V10" i="10"/>
  <c r="V11" i="10"/>
  <c r="V12" i="10"/>
  <c r="V13" i="10"/>
  <c r="V14" i="10"/>
  <c r="V15" i="10"/>
  <c r="V16" i="10"/>
  <c r="V17" i="10"/>
  <c r="V18" i="10"/>
  <c r="V19" i="10"/>
  <c r="V20" i="10"/>
  <c r="V21" i="10"/>
  <c r="V22" i="10"/>
  <c r="V23" i="10"/>
  <c r="V24" i="10"/>
  <c r="V25" i="10"/>
  <c r="V26" i="10"/>
  <c r="V27" i="10"/>
  <c r="V28" i="10"/>
  <c r="V29" i="10"/>
  <c r="V30" i="10"/>
  <c r="V31" i="10"/>
  <c r="V32" i="10"/>
  <c r="V33" i="10"/>
  <c r="V34" i="10"/>
  <c r="V35" i="10"/>
  <c r="V36" i="10"/>
  <c r="V37" i="10"/>
  <c r="V38" i="10"/>
  <c r="V39" i="10"/>
  <c r="V40" i="10"/>
  <c r="V41" i="10"/>
  <c r="V42" i="10"/>
  <c r="V43" i="10"/>
  <c r="V44" i="10"/>
  <c r="V45" i="10"/>
  <c r="V46" i="10"/>
  <c r="V47" i="10"/>
  <c r="V48" i="10"/>
  <c r="V49" i="10"/>
  <c r="V50" i="10"/>
  <c r="V51" i="10"/>
  <c r="V52" i="10"/>
  <c r="V53" i="10"/>
  <c r="V54" i="10"/>
  <c r="V55" i="10"/>
  <c r="V56" i="10"/>
  <c r="V57" i="10"/>
  <c r="V58" i="10"/>
  <c r="V59" i="10"/>
  <c r="V60" i="10"/>
  <c r="V61" i="10"/>
  <c r="V62" i="10"/>
  <c r="V63" i="10"/>
  <c r="V69" i="10"/>
  <c r="V8" i="10"/>
  <c r="T69" i="10"/>
  <c r="T63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46" i="10"/>
  <c r="P47" i="10"/>
  <c r="P48" i="10"/>
  <c r="P49" i="10"/>
  <c r="P50" i="10"/>
  <c r="P51" i="10"/>
  <c r="P52" i="10"/>
  <c r="P53" i="10"/>
  <c r="P54" i="10"/>
  <c r="P55" i="10"/>
  <c r="P56" i="10"/>
  <c r="P57" i="10"/>
  <c r="P58" i="10"/>
  <c r="P59" i="10"/>
  <c r="P60" i="10"/>
  <c r="P61" i="10"/>
  <c r="P62" i="10"/>
  <c r="P63" i="10"/>
  <c r="P69" i="10"/>
  <c r="P8" i="10"/>
  <c r="K60" i="10"/>
  <c r="L60" i="10"/>
  <c r="M60" i="10"/>
  <c r="K61" i="10"/>
  <c r="L61" i="10"/>
  <c r="M61" i="10"/>
  <c r="K62" i="10"/>
  <c r="L62" i="10"/>
  <c r="M62" i="10"/>
  <c r="K63" i="10"/>
  <c r="L63" i="10"/>
  <c r="M63" i="10"/>
  <c r="M749" i="7" l="1"/>
  <c r="M753" i="7"/>
  <c r="M754" i="7"/>
  <c r="M758" i="7"/>
  <c r="P758" i="7"/>
  <c r="M759" i="7"/>
  <c r="P759" i="7"/>
  <c r="R757" i="7"/>
  <c r="S757" i="7" s="1"/>
  <c r="T757" i="7" s="1"/>
  <c r="M752" i="7"/>
  <c r="P748" i="7"/>
  <c r="R750" i="7"/>
  <c r="S750" i="7" s="1"/>
  <c r="T750" i="7" s="1"/>
  <c r="P747" i="7"/>
  <c r="P745" i="7"/>
  <c r="R755" i="7"/>
  <c r="S755" i="7" s="1"/>
  <c r="T755" i="7" s="1"/>
  <c r="M760" i="7"/>
  <c r="P756" i="7"/>
  <c r="R751" i="7"/>
  <c r="S751" i="7" s="1"/>
  <c r="T751" i="7" s="1"/>
  <c r="M750" i="7"/>
  <c r="P757" i="7"/>
  <c r="R753" i="7"/>
  <c r="S753" i="7" s="1"/>
  <c r="T753" i="7" s="1"/>
  <c r="AH66" i="10"/>
  <c r="AH69" i="10"/>
  <c r="AH63" i="10"/>
  <c r="R752" i="7"/>
  <c r="S752" i="7" s="1"/>
  <c r="R756" i="7"/>
  <c r="S756" i="7" s="1"/>
  <c r="R749" i="7"/>
  <c r="S749" i="7" s="1"/>
  <c r="T749" i="7" s="1"/>
  <c r="P751" i="7"/>
  <c r="R748" i="7"/>
  <c r="S748" i="7" s="1"/>
  <c r="P755" i="7"/>
  <c r="R754" i="7"/>
  <c r="S754" i="7" s="1"/>
  <c r="AG62" i="10"/>
  <c r="AF62" i="10"/>
  <c r="AE62" i="10"/>
  <c r="AD62" i="10"/>
  <c r="AH62" i="10" s="1"/>
  <c r="T62" i="10"/>
  <c r="O715" i="7"/>
  <c r="Q715" i="7"/>
  <c r="U715" i="7"/>
  <c r="V715" i="7"/>
  <c r="W715" i="7"/>
  <c r="O716" i="7"/>
  <c r="Q716" i="7"/>
  <c r="U716" i="7"/>
  <c r="V716" i="7"/>
  <c r="W716" i="7"/>
  <c r="O718" i="7"/>
  <c r="Q718" i="7"/>
  <c r="U718" i="7"/>
  <c r="V718" i="7"/>
  <c r="W718" i="7"/>
  <c r="O717" i="7"/>
  <c r="Q717" i="7"/>
  <c r="U717" i="7"/>
  <c r="V717" i="7"/>
  <c r="W717" i="7"/>
  <c r="O719" i="7"/>
  <c r="Q719" i="7"/>
  <c r="U719" i="7"/>
  <c r="V719" i="7"/>
  <c r="W719" i="7"/>
  <c r="O720" i="7"/>
  <c r="Q720" i="7"/>
  <c r="U720" i="7"/>
  <c r="V720" i="7"/>
  <c r="W720" i="7"/>
  <c r="O721" i="7"/>
  <c r="Q721" i="7"/>
  <c r="U721" i="7"/>
  <c r="V721" i="7"/>
  <c r="W721" i="7"/>
  <c r="O722" i="7"/>
  <c r="Q722" i="7"/>
  <c r="U722" i="7"/>
  <c r="V722" i="7"/>
  <c r="W722" i="7"/>
  <c r="O723" i="7"/>
  <c r="Q723" i="7"/>
  <c r="U723" i="7"/>
  <c r="V723" i="7"/>
  <c r="W723" i="7"/>
  <c r="O724" i="7"/>
  <c r="Q724" i="7"/>
  <c r="U724" i="7"/>
  <c r="V724" i="7"/>
  <c r="W724" i="7"/>
  <c r="O725" i="7"/>
  <c r="Q725" i="7"/>
  <c r="U725" i="7"/>
  <c r="V725" i="7"/>
  <c r="W725" i="7"/>
  <c r="O726" i="7"/>
  <c r="Q726" i="7"/>
  <c r="U726" i="7"/>
  <c r="V726" i="7"/>
  <c r="W726" i="7"/>
  <c r="O727" i="7"/>
  <c r="Q727" i="7"/>
  <c r="U727" i="7"/>
  <c r="V727" i="7"/>
  <c r="W727" i="7"/>
  <c r="O728" i="7"/>
  <c r="Q728" i="7"/>
  <c r="U728" i="7"/>
  <c r="V728" i="7"/>
  <c r="W728" i="7"/>
  <c r="O729" i="7"/>
  <c r="Q729" i="7"/>
  <c r="U729" i="7"/>
  <c r="V729" i="7"/>
  <c r="W729" i="7"/>
  <c r="O730" i="7"/>
  <c r="Q730" i="7"/>
  <c r="U730" i="7"/>
  <c r="V730" i="7"/>
  <c r="W730" i="7"/>
  <c r="O731" i="7"/>
  <c r="Q731" i="7"/>
  <c r="U731" i="7"/>
  <c r="V731" i="7"/>
  <c r="W731" i="7"/>
  <c r="O732" i="7"/>
  <c r="Q732" i="7"/>
  <c r="U732" i="7"/>
  <c r="V732" i="7"/>
  <c r="W732" i="7"/>
  <c r="O733" i="7"/>
  <c r="Q733" i="7"/>
  <c r="U733" i="7"/>
  <c r="V733" i="7"/>
  <c r="W733" i="7"/>
  <c r="O734" i="7"/>
  <c r="Q734" i="7"/>
  <c r="U734" i="7"/>
  <c r="V734" i="7"/>
  <c r="W734" i="7"/>
  <c r="O735" i="7"/>
  <c r="Q735" i="7"/>
  <c r="U735" i="7"/>
  <c r="V735" i="7"/>
  <c r="W735" i="7"/>
  <c r="O736" i="7"/>
  <c r="Q736" i="7"/>
  <c r="U736" i="7"/>
  <c r="V736" i="7"/>
  <c r="W736" i="7"/>
  <c r="O737" i="7"/>
  <c r="Q737" i="7"/>
  <c r="U737" i="7"/>
  <c r="V737" i="7"/>
  <c r="W737" i="7"/>
  <c r="O738" i="7"/>
  <c r="Q738" i="7"/>
  <c r="U738" i="7"/>
  <c r="V738" i="7"/>
  <c r="W738" i="7"/>
  <c r="O739" i="7"/>
  <c r="Q739" i="7"/>
  <c r="U739" i="7"/>
  <c r="V739" i="7"/>
  <c r="W739" i="7"/>
  <c r="O740" i="7"/>
  <c r="Q740" i="7"/>
  <c r="U740" i="7"/>
  <c r="V740" i="7"/>
  <c r="W740" i="7"/>
  <c r="O741" i="7"/>
  <c r="Q741" i="7"/>
  <c r="U741" i="7"/>
  <c r="V741" i="7"/>
  <c r="W741" i="7"/>
  <c r="O742" i="7"/>
  <c r="Q742" i="7"/>
  <c r="U742" i="7"/>
  <c r="V742" i="7"/>
  <c r="W742" i="7"/>
  <c r="O743" i="7"/>
  <c r="Q743" i="7"/>
  <c r="U743" i="7"/>
  <c r="V743" i="7"/>
  <c r="W743" i="7"/>
  <c r="O744" i="7"/>
  <c r="Q744" i="7"/>
  <c r="U744" i="7"/>
  <c r="V744" i="7"/>
  <c r="W744" i="7"/>
  <c r="O746" i="7"/>
  <c r="Q746" i="7"/>
  <c r="R745" i="7" s="1"/>
  <c r="U746" i="7"/>
  <c r="V746" i="7"/>
  <c r="W746" i="7"/>
  <c r="L739" i="7"/>
  <c r="M739" i="7" s="1"/>
  <c r="L741" i="7"/>
  <c r="M741" i="7" s="1"/>
  <c r="L746" i="7"/>
  <c r="M746" i="7" s="1"/>
  <c r="L717" i="7"/>
  <c r="L721" i="7"/>
  <c r="M721" i="7" s="1"/>
  <c r="L725" i="7"/>
  <c r="M725" i="7" s="1"/>
  <c r="L727" i="7"/>
  <c r="P727" i="7" s="1"/>
  <c r="L729" i="7"/>
  <c r="P729" i="7" s="1"/>
  <c r="L730" i="7"/>
  <c r="P730" i="7" s="1"/>
  <c r="L733" i="7"/>
  <c r="M733" i="7" s="1"/>
  <c r="L735" i="7"/>
  <c r="M735" i="7" s="1"/>
  <c r="L734" i="7"/>
  <c r="M734" i="7" s="1"/>
  <c r="L738" i="7"/>
  <c r="M738" i="7"/>
  <c r="L740" i="7"/>
  <c r="M740" i="7" s="1"/>
  <c r="L742" i="7"/>
  <c r="M742" i="7" s="1"/>
  <c r="L743" i="7"/>
  <c r="P743" i="7" s="1"/>
  <c r="L744" i="7"/>
  <c r="M744" i="7" s="1"/>
  <c r="R747" i="7" l="1"/>
  <c r="S747" i="7" s="1"/>
  <c r="T747" i="7" s="1"/>
  <c r="R734" i="7"/>
  <c r="S734" i="7" s="1"/>
  <c r="T734" i="7" s="1"/>
  <c r="M730" i="7"/>
  <c r="M727" i="7"/>
  <c r="S745" i="7"/>
  <c r="T745" i="7"/>
  <c r="T752" i="7"/>
  <c r="T748" i="7"/>
  <c r="T754" i="7"/>
  <c r="T756" i="7"/>
  <c r="R716" i="7"/>
  <c r="S716" i="7" s="1"/>
  <c r="T716" i="7" s="1"/>
  <c r="R736" i="7"/>
  <c r="S736" i="7" s="1"/>
  <c r="R719" i="7"/>
  <c r="S719" i="7" s="1"/>
  <c r="P717" i="7"/>
  <c r="R730" i="7"/>
  <c r="S730" i="7" s="1"/>
  <c r="T730" i="7" s="1"/>
  <c r="P721" i="7"/>
  <c r="P725" i="7"/>
  <c r="P742" i="7"/>
  <c r="R725" i="7"/>
  <c r="S725" i="7" s="1"/>
  <c r="T725" i="7" s="1"/>
  <c r="R743" i="7"/>
  <c r="S743" i="7" s="1"/>
  <c r="T743" i="7" s="1"/>
  <c r="R732" i="7"/>
  <c r="S732" i="7" s="1"/>
  <c r="T732" i="7" s="1"/>
  <c r="R729" i="7"/>
  <c r="R735" i="7"/>
  <c r="S735" i="7" s="1"/>
  <c r="T735" i="7" s="1"/>
  <c r="R720" i="7"/>
  <c r="S720" i="7" s="1"/>
  <c r="T720" i="7" s="1"/>
  <c r="R723" i="7"/>
  <c r="S723" i="7" s="1"/>
  <c r="T723" i="7" s="1"/>
  <c r="M717" i="7"/>
  <c r="P738" i="7"/>
  <c r="R738" i="7"/>
  <c r="S738" i="7" s="1"/>
  <c r="R741" i="7"/>
  <c r="S741" i="7" s="1"/>
  <c r="P734" i="7"/>
  <c r="M743" i="7"/>
  <c r="R721" i="7"/>
  <c r="S721" i="7" s="1"/>
  <c r="R737" i="7"/>
  <c r="P733" i="7"/>
  <c r="R722" i="7"/>
  <c r="S722" i="7" s="1"/>
  <c r="T722" i="7" s="1"/>
  <c r="P744" i="7"/>
  <c r="R742" i="7"/>
  <c r="S742" i="7" s="1"/>
  <c r="T742" i="7" s="1"/>
  <c r="R727" i="7"/>
  <c r="S727" i="7" s="1"/>
  <c r="T727" i="7" s="1"/>
  <c r="P735" i="7"/>
  <c r="R717" i="7"/>
  <c r="P739" i="7"/>
  <c r="R746" i="7"/>
  <c r="S746" i="7" s="1"/>
  <c r="T746" i="7" s="1"/>
  <c r="R724" i="7"/>
  <c r="S724" i="7" s="1"/>
  <c r="R731" i="7"/>
  <c r="S731" i="7" s="1"/>
  <c r="R733" i="7"/>
  <c r="S733" i="7" s="1"/>
  <c r="R744" i="7"/>
  <c r="S744" i="7" s="1"/>
  <c r="T744" i="7" s="1"/>
  <c r="P746" i="7"/>
  <c r="P741" i="7"/>
  <c r="R740" i="7"/>
  <c r="P740" i="7"/>
  <c r="R739" i="7"/>
  <c r="S739" i="7" s="1"/>
  <c r="R726" i="7"/>
  <c r="R728" i="7"/>
  <c r="T728" i="7" s="1"/>
  <c r="R718" i="7"/>
  <c r="S718" i="7" s="1"/>
  <c r="M729" i="7"/>
  <c r="S737" i="7" l="1"/>
  <c r="T737" i="7" s="1"/>
  <c r="S729" i="7"/>
  <c r="T729" i="7" s="1"/>
  <c r="T736" i="7"/>
  <c r="T719" i="7"/>
  <c r="T738" i="7"/>
  <c r="T741" i="7"/>
  <c r="T724" i="7"/>
  <c r="T718" i="7"/>
  <c r="S728" i="7"/>
  <c r="T721" i="7"/>
  <c r="T731" i="7"/>
  <c r="S726" i="7"/>
  <c r="T726" i="7" s="1"/>
  <c r="S740" i="7"/>
  <c r="T740" i="7" s="1"/>
  <c r="T733" i="7"/>
  <c r="S717" i="7"/>
  <c r="T717" i="7" s="1"/>
  <c r="T739" i="7"/>
  <c r="L715" i="7" l="1"/>
  <c r="L716" i="7"/>
  <c r="P716" i="7" s="1"/>
  <c r="L718" i="7"/>
  <c r="P718" i="7" s="1"/>
  <c r="L719" i="7"/>
  <c r="L720" i="7"/>
  <c r="P720" i="7" s="1"/>
  <c r="L722" i="7"/>
  <c r="P722" i="7" s="1"/>
  <c r="L723" i="7"/>
  <c r="P723" i="7" s="1"/>
  <c r="L724" i="7"/>
  <c r="P724" i="7" s="1"/>
  <c r="L726" i="7"/>
  <c r="P726" i="7" s="1"/>
  <c r="L728" i="7"/>
  <c r="P728" i="7" s="1"/>
  <c r="L731" i="7"/>
  <c r="P731" i="7" s="1"/>
  <c r="L732" i="7"/>
  <c r="P732" i="7" s="1"/>
  <c r="L736" i="7"/>
  <c r="P736" i="7" s="1"/>
  <c r="L737" i="7"/>
  <c r="P737" i="7" s="1"/>
  <c r="M723" i="7" l="1"/>
  <c r="M716" i="7"/>
  <c r="M732" i="7"/>
  <c r="M724" i="7"/>
  <c r="M737" i="7"/>
  <c r="M726" i="7"/>
  <c r="M715" i="7"/>
  <c r="P715" i="7"/>
  <c r="M719" i="7"/>
  <c r="P719" i="7"/>
  <c r="M718" i="7"/>
  <c r="M736" i="7"/>
  <c r="M731" i="7"/>
  <c r="M728" i="7"/>
  <c r="M722" i="7"/>
  <c r="M720" i="7"/>
  <c r="AE47" i="10" l="1"/>
  <c r="AE48" i="10"/>
  <c r="AE49" i="10"/>
  <c r="AE50" i="10"/>
  <c r="AE51" i="10"/>
  <c r="AE52" i="10"/>
  <c r="AE53" i="10"/>
  <c r="AE54" i="10"/>
  <c r="AE55" i="10"/>
  <c r="AE56" i="10"/>
  <c r="AE57" i="10"/>
  <c r="AE58" i="10"/>
  <c r="AE59" i="10"/>
  <c r="AE60" i="10"/>
  <c r="AE61" i="10"/>
  <c r="AD47" i="10"/>
  <c r="AD48" i="10"/>
  <c r="AD49" i="10"/>
  <c r="AD50" i="10"/>
  <c r="AD51" i="10"/>
  <c r="AD52" i="10"/>
  <c r="AD53" i="10"/>
  <c r="AD54" i="10"/>
  <c r="AD55" i="10"/>
  <c r="AD56" i="10"/>
  <c r="AD57" i="10"/>
  <c r="AD58" i="10"/>
  <c r="AD59" i="10"/>
  <c r="AD60" i="10"/>
  <c r="AD61" i="10"/>
  <c r="AH61" i="10" s="1"/>
  <c r="AD46" i="10"/>
  <c r="Z47" i="10"/>
  <c r="Z48" i="10"/>
  <c r="Z49" i="10"/>
  <c r="Z50" i="10"/>
  <c r="Z46" i="10"/>
  <c r="Q663" i="7"/>
  <c r="U663" i="7"/>
  <c r="V663" i="7"/>
  <c r="W663" i="7"/>
  <c r="Q664" i="7"/>
  <c r="U664" i="7"/>
  <c r="V664" i="7"/>
  <c r="W664" i="7"/>
  <c r="Q665" i="7"/>
  <c r="U665" i="7"/>
  <c r="V665" i="7"/>
  <c r="W665" i="7"/>
  <c r="Q666" i="7"/>
  <c r="U666" i="7"/>
  <c r="V666" i="7"/>
  <c r="W666" i="7"/>
  <c r="Q667" i="7"/>
  <c r="U667" i="7"/>
  <c r="V667" i="7"/>
  <c r="W667" i="7"/>
  <c r="Q668" i="7"/>
  <c r="U668" i="7"/>
  <c r="V668" i="7"/>
  <c r="W668" i="7"/>
  <c r="Q669" i="7"/>
  <c r="U669" i="7"/>
  <c r="V669" i="7"/>
  <c r="W669" i="7"/>
  <c r="Q670" i="7"/>
  <c r="U670" i="7"/>
  <c r="V670" i="7"/>
  <c r="W670" i="7"/>
  <c r="Q671" i="7"/>
  <c r="U671" i="7"/>
  <c r="V671" i="7"/>
  <c r="W671" i="7"/>
  <c r="Q672" i="7"/>
  <c r="U672" i="7"/>
  <c r="V672" i="7"/>
  <c r="W672" i="7"/>
  <c r="Q673" i="7"/>
  <c r="U673" i="7"/>
  <c r="V673" i="7"/>
  <c r="W673" i="7"/>
  <c r="Q674" i="7"/>
  <c r="U674" i="7"/>
  <c r="V674" i="7"/>
  <c r="W674" i="7"/>
  <c r="Q675" i="7"/>
  <c r="U675" i="7"/>
  <c r="V675" i="7"/>
  <c r="W675" i="7"/>
  <c r="Q676" i="7"/>
  <c r="U676" i="7"/>
  <c r="V676" i="7"/>
  <c r="W676" i="7"/>
  <c r="Q677" i="7"/>
  <c r="U677" i="7"/>
  <c r="V677" i="7"/>
  <c r="W677" i="7"/>
  <c r="Q678" i="7"/>
  <c r="U678" i="7"/>
  <c r="V678" i="7"/>
  <c r="W678" i="7"/>
  <c r="Q679" i="7"/>
  <c r="U679" i="7"/>
  <c r="V679" i="7"/>
  <c r="W679" i="7"/>
  <c r="Q680" i="7"/>
  <c r="U680" i="7"/>
  <c r="V680" i="7"/>
  <c r="W680" i="7"/>
  <c r="Q681" i="7"/>
  <c r="U681" i="7"/>
  <c r="V681" i="7"/>
  <c r="W681" i="7"/>
  <c r="Q682" i="7"/>
  <c r="U682" i="7"/>
  <c r="V682" i="7"/>
  <c r="W682" i="7"/>
  <c r="Q683" i="7"/>
  <c r="U683" i="7"/>
  <c r="V683" i="7"/>
  <c r="W683" i="7"/>
  <c r="Q684" i="7"/>
  <c r="U684" i="7"/>
  <c r="V684" i="7"/>
  <c r="W684" i="7"/>
  <c r="Q685" i="7"/>
  <c r="U685" i="7"/>
  <c r="V685" i="7"/>
  <c r="W685" i="7"/>
  <c r="Q686" i="7"/>
  <c r="U686" i="7"/>
  <c r="V686" i="7"/>
  <c r="W686" i="7"/>
  <c r="Q687" i="7"/>
  <c r="U687" i="7"/>
  <c r="V687" i="7"/>
  <c r="W687" i="7"/>
  <c r="Q688" i="7"/>
  <c r="U688" i="7"/>
  <c r="V688" i="7"/>
  <c r="W688" i="7"/>
  <c r="Q689" i="7"/>
  <c r="U689" i="7"/>
  <c r="V689" i="7"/>
  <c r="W689" i="7"/>
  <c r="Q690" i="7"/>
  <c r="U690" i="7"/>
  <c r="V690" i="7"/>
  <c r="W690" i="7"/>
  <c r="Q691" i="7"/>
  <c r="U691" i="7"/>
  <c r="V691" i="7"/>
  <c r="W691" i="7"/>
  <c r="Q692" i="7"/>
  <c r="U692" i="7"/>
  <c r="V692" i="7"/>
  <c r="W692" i="7"/>
  <c r="Q693" i="7"/>
  <c r="R693" i="7"/>
  <c r="U693" i="7"/>
  <c r="V693" i="7"/>
  <c r="W693" i="7"/>
  <c r="Q694" i="7"/>
  <c r="U694" i="7"/>
  <c r="V694" i="7"/>
  <c r="W694" i="7"/>
  <c r="Q695" i="7"/>
  <c r="U695" i="7"/>
  <c r="V695" i="7"/>
  <c r="W695" i="7"/>
  <c r="Q696" i="7"/>
  <c r="U696" i="7"/>
  <c r="V696" i="7"/>
  <c r="W696" i="7"/>
  <c r="Q697" i="7"/>
  <c r="U697" i="7"/>
  <c r="V697" i="7"/>
  <c r="W697" i="7"/>
  <c r="Q698" i="7"/>
  <c r="U698" i="7"/>
  <c r="V698" i="7"/>
  <c r="W698" i="7"/>
  <c r="Q699" i="7"/>
  <c r="U699" i="7"/>
  <c r="V699" i="7"/>
  <c r="W699" i="7"/>
  <c r="Q700" i="7"/>
  <c r="U700" i="7"/>
  <c r="V700" i="7"/>
  <c r="W700" i="7"/>
  <c r="Q701" i="7"/>
  <c r="U701" i="7"/>
  <c r="V701" i="7"/>
  <c r="W701" i="7"/>
  <c r="Q702" i="7"/>
  <c r="U702" i="7"/>
  <c r="V702" i="7"/>
  <c r="W702" i="7"/>
  <c r="Q703" i="7"/>
  <c r="U703" i="7"/>
  <c r="V703" i="7"/>
  <c r="W703" i="7"/>
  <c r="Q704" i="7"/>
  <c r="U704" i="7"/>
  <c r="V704" i="7"/>
  <c r="W704" i="7"/>
  <c r="Q705" i="7"/>
  <c r="U705" i="7"/>
  <c r="V705" i="7"/>
  <c r="W705" i="7"/>
  <c r="Q706" i="7"/>
  <c r="U706" i="7"/>
  <c r="V706" i="7"/>
  <c r="W706" i="7"/>
  <c r="Q707" i="7"/>
  <c r="U707" i="7"/>
  <c r="V707" i="7"/>
  <c r="W707" i="7"/>
  <c r="Q708" i="7"/>
  <c r="U708" i="7"/>
  <c r="V708" i="7"/>
  <c r="W708" i="7"/>
  <c r="Q709" i="7"/>
  <c r="U709" i="7"/>
  <c r="V709" i="7"/>
  <c r="W709" i="7"/>
  <c r="Q710" i="7"/>
  <c r="U710" i="7"/>
  <c r="V710" i="7"/>
  <c r="W710" i="7"/>
  <c r="Q711" i="7"/>
  <c r="U711" i="7"/>
  <c r="V711" i="7"/>
  <c r="W711" i="7"/>
  <c r="Q712" i="7"/>
  <c r="U712" i="7"/>
  <c r="V712" i="7"/>
  <c r="W712" i="7"/>
  <c r="Q713" i="7"/>
  <c r="U713" i="7"/>
  <c r="V713" i="7"/>
  <c r="W713" i="7"/>
  <c r="Q714" i="7"/>
  <c r="R715" i="7" s="1"/>
  <c r="S715" i="7" s="1"/>
  <c r="T715" i="7" s="1"/>
  <c r="U714" i="7"/>
  <c r="V714" i="7"/>
  <c r="W714" i="7"/>
  <c r="O694" i="7"/>
  <c r="O695" i="7"/>
  <c r="O696" i="7"/>
  <c r="O697" i="7"/>
  <c r="O698" i="7"/>
  <c r="O699" i="7"/>
  <c r="O700" i="7"/>
  <c r="O701" i="7"/>
  <c r="O702" i="7"/>
  <c r="O703" i="7"/>
  <c r="O704" i="7"/>
  <c r="O705" i="7"/>
  <c r="O706" i="7"/>
  <c r="O707" i="7"/>
  <c r="O708" i="7"/>
  <c r="O709" i="7"/>
  <c r="O710" i="7"/>
  <c r="O711" i="7"/>
  <c r="O712" i="7"/>
  <c r="O713" i="7"/>
  <c r="O714" i="7"/>
  <c r="L694" i="7"/>
  <c r="M694" i="7" s="1"/>
  <c r="L695" i="7"/>
  <c r="M695" i="7" s="1"/>
  <c r="L696" i="7"/>
  <c r="L697" i="7"/>
  <c r="M697" i="7"/>
  <c r="L698" i="7"/>
  <c r="P698" i="7" s="1"/>
  <c r="L699" i="7"/>
  <c r="L700" i="7"/>
  <c r="P700" i="7" s="1"/>
  <c r="L701" i="7"/>
  <c r="P701" i="7" s="1"/>
  <c r="L702" i="7"/>
  <c r="P702" i="7" s="1"/>
  <c r="L703" i="7"/>
  <c r="P703" i="7" s="1"/>
  <c r="L704" i="7"/>
  <c r="M704" i="7" s="1"/>
  <c r="L705" i="7"/>
  <c r="M705" i="7" s="1"/>
  <c r="L706" i="7"/>
  <c r="P706" i="7" s="1"/>
  <c r="L707" i="7"/>
  <c r="P707" i="7" s="1"/>
  <c r="L708" i="7"/>
  <c r="M708" i="7" s="1"/>
  <c r="L709" i="7"/>
  <c r="M709" i="7" s="1"/>
  <c r="L710" i="7"/>
  <c r="M710" i="7" s="1"/>
  <c r="L711" i="7"/>
  <c r="P711" i="7" s="1"/>
  <c r="L712" i="7"/>
  <c r="P712" i="7" s="1"/>
  <c r="L713" i="7"/>
  <c r="P713" i="7" s="1"/>
  <c r="L714" i="7"/>
  <c r="M714" i="7" s="1"/>
  <c r="AG61" i="10"/>
  <c r="AF61" i="10"/>
  <c r="T61" i="10"/>
  <c r="AF59" i="10"/>
  <c r="AG59" i="10"/>
  <c r="AH59" i="10"/>
  <c r="AF60" i="10"/>
  <c r="AG60" i="10"/>
  <c r="T58" i="10"/>
  <c r="T59" i="10"/>
  <c r="T60" i="10"/>
  <c r="M57" i="10"/>
  <c r="M58" i="10"/>
  <c r="M59" i="10"/>
  <c r="L686" i="7"/>
  <c r="P686" i="7" s="1"/>
  <c r="L687" i="7"/>
  <c r="P687" i="7" s="1"/>
  <c r="L688" i="7"/>
  <c r="M688" i="7" s="1"/>
  <c r="L689" i="7"/>
  <c r="P689" i="7" s="1"/>
  <c r="L690" i="7"/>
  <c r="P690" i="7" s="1"/>
  <c r="L691" i="7"/>
  <c r="M691" i="7" s="1"/>
  <c r="L692" i="7"/>
  <c r="M692" i="7" s="1"/>
  <c r="L693" i="7"/>
  <c r="M693" i="7" s="1"/>
  <c r="O686" i="7"/>
  <c r="O687" i="7"/>
  <c r="O688" i="7"/>
  <c r="O689" i="7"/>
  <c r="O690" i="7"/>
  <c r="O691" i="7"/>
  <c r="O692" i="7"/>
  <c r="O693" i="7"/>
  <c r="R676" i="7" l="1"/>
  <c r="R705" i="7"/>
  <c r="S705" i="7" s="1"/>
  <c r="T705" i="7" s="1"/>
  <c r="M706" i="7"/>
  <c r="R673" i="7"/>
  <c r="R687" i="7"/>
  <c r="S687" i="7" s="1"/>
  <c r="T687" i="7" s="1"/>
  <c r="R670" i="7"/>
  <c r="R665" i="7"/>
  <c r="R691" i="7"/>
  <c r="S691" i="7" s="1"/>
  <c r="T691" i="7" s="1"/>
  <c r="M711" i="7"/>
  <c r="R710" i="7"/>
  <c r="S710" i="7" s="1"/>
  <c r="T710" i="7" s="1"/>
  <c r="R685" i="7"/>
  <c r="P699" i="7"/>
  <c r="M698" i="7"/>
  <c r="R688" i="7"/>
  <c r="S688" i="7" s="1"/>
  <c r="T688" i="7" s="1"/>
  <c r="R697" i="7"/>
  <c r="S697" i="7" s="1"/>
  <c r="R680" i="7"/>
  <c r="R679" i="7"/>
  <c r="S679" i="7" s="1"/>
  <c r="S693" i="7"/>
  <c r="T693" i="7" s="1"/>
  <c r="T670" i="7"/>
  <c r="S670" i="7"/>
  <c r="R668" i="7"/>
  <c r="R699" i="7"/>
  <c r="S699" i="7" s="1"/>
  <c r="T699" i="7" s="1"/>
  <c r="R686" i="7"/>
  <c r="S686" i="7" s="1"/>
  <c r="R677" i="7"/>
  <c r="R690" i="7"/>
  <c r="S690" i="7" s="1"/>
  <c r="T690" i="7" s="1"/>
  <c r="R703" i="7"/>
  <c r="R713" i="7"/>
  <c r="S713" i="7" s="1"/>
  <c r="T713" i="7" s="1"/>
  <c r="R694" i="7"/>
  <c r="S694" i="7" s="1"/>
  <c r="T694" i="7" s="1"/>
  <c r="AH60" i="10"/>
  <c r="R702" i="7"/>
  <c r="S702" i="7" s="1"/>
  <c r="R711" i="7"/>
  <c r="S711" i="7" s="1"/>
  <c r="T711" i="7" s="1"/>
  <c r="R707" i="7"/>
  <c r="S707" i="7" s="1"/>
  <c r="R667" i="7"/>
  <c r="R689" i="7"/>
  <c r="S689" i="7" s="1"/>
  <c r="T689" i="7" s="1"/>
  <c r="R671" i="7"/>
  <c r="R692" i="7"/>
  <c r="S692" i="7" s="1"/>
  <c r="R696" i="7"/>
  <c r="R708" i="7"/>
  <c r="S708" i="7" s="1"/>
  <c r="R678" i="7"/>
  <c r="R674" i="7"/>
  <c r="M700" i="7"/>
  <c r="R682" i="7"/>
  <c r="R714" i="7"/>
  <c r="S714" i="7" s="1"/>
  <c r="T714" i="7" s="1"/>
  <c r="M712" i="7"/>
  <c r="M699" i="7"/>
  <c r="R684" i="7"/>
  <c r="R698" i="7"/>
  <c r="S698" i="7" s="1"/>
  <c r="T698" i="7" s="1"/>
  <c r="R666" i="7"/>
  <c r="S666" i="7" s="1"/>
  <c r="R669" i="7"/>
  <c r="R700" i="7"/>
  <c r="R712" i="7"/>
  <c r="S712" i="7" s="1"/>
  <c r="R672" i="7"/>
  <c r="R709" i="7"/>
  <c r="S709" i="7" s="1"/>
  <c r="T709" i="7" s="1"/>
  <c r="R683" i="7"/>
  <c r="R695" i="7"/>
  <c r="S695" i="7" s="1"/>
  <c r="T695" i="7" s="1"/>
  <c r="R675" i="7"/>
  <c r="R706" i="7"/>
  <c r="S706" i="7" s="1"/>
  <c r="T706" i="7" s="1"/>
  <c r="R704" i="7"/>
  <c r="S704" i="7" s="1"/>
  <c r="R664" i="7"/>
  <c r="R701" i="7"/>
  <c r="R681" i="7"/>
  <c r="P695" i="7"/>
  <c r="M703" i="7"/>
  <c r="P694" i="7"/>
  <c r="M702" i="7"/>
  <c r="M713" i="7"/>
  <c r="M701" i="7"/>
  <c r="P708" i="7"/>
  <c r="P696" i="7"/>
  <c r="P710" i="7"/>
  <c r="P704" i="7"/>
  <c r="P709" i="7"/>
  <c r="P705" i="7"/>
  <c r="P697" i="7"/>
  <c r="M707" i="7"/>
  <c r="M696" i="7"/>
  <c r="P714" i="7"/>
  <c r="M689" i="7"/>
  <c r="M687" i="7"/>
  <c r="P688" i="7"/>
  <c r="M690" i="7"/>
  <c r="P693" i="7"/>
  <c r="P691" i="7"/>
  <c r="M686" i="7"/>
  <c r="P692" i="7"/>
  <c r="T697" i="7" l="1"/>
  <c r="T679" i="7"/>
  <c r="T707" i="7"/>
  <c r="T702" i="7"/>
  <c r="S703" i="7"/>
  <c r="T703" i="7" s="1"/>
  <c r="T686" i="7"/>
  <c r="T692" i="7"/>
  <c r="S700" i="7"/>
  <c r="T700" i="7" s="1"/>
  <c r="S696" i="7"/>
  <c r="T696" i="7" s="1"/>
  <c r="T708" i="7"/>
  <c r="T666" i="7"/>
  <c r="T712" i="7"/>
  <c r="T704" i="7"/>
  <c r="S701" i="7"/>
  <c r="T701" i="7" s="1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35" i="10"/>
  <c r="T36" i="10"/>
  <c r="T37" i="10"/>
  <c r="T38" i="10"/>
  <c r="T39" i="10"/>
  <c r="T40" i="10"/>
  <c r="T41" i="10"/>
  <c r="T42" i="10"/>
  <c r="T43" i="10"/>
  <c r="T44" i="10"/>
  <c r="T45" i="10"/>
  <c r="T46" i="10"/>
  <c r="T47" i="10"/>
  <c r="T48" i="10"/>
  <c r="T49" i="10"/>
  <c r="T50" i="10"/>
  <c r="T51" i="10"/>
  <c r="T52" i="10"/>
  <c r="T53" i="10"/>
  <c r="T54" i="10"/>
  <c r="T55" i="10"/>
  <c r="T56" i="10"/>
  <c r="T57" i="10"/>
  <c r="K56" i="10"/>
  <c r="L56" i="10"/>
  <c r="M56" i="10"/>
  <c r="K57" i="10"/>
  <c r="L57" i="10"/>
  <c r="K58" i="10"/>
  <c r="L58" i="10"/>
  <c r="K59" i="10"/>
  <c r="L59" i="10"/>
  <c r="AH58" i="10" l="1"/>
  <c r="AG58" i="10"/>
  <c r="AF58" i="10"/>
  <c r="O673" i="7"/>
  <c r="S673" i="7" s="1"/>
  <c r="T673" i="7" s="1"/>
  <c r="O674" i="7"/>
  <c r="S674" i="7" s="1"/>
  <c r="T674" i="7" s="1"/>
  <c r="O675" i="7"/>
  <c r="S675" i="7" s="1"/>
  <c r="T675" i="7" s="1"/>
  <c r="O676" i="7"/>
  <c r="S676" i="7" s="1"/>
  <c r="T676" i="7" s="1"/>
  <c r="O677" i="7"/>
  <c r="S677" i="7" s="1"/>
  <c r="T677" i="7" s="1"/>
  <c r="O679" i="7"/>
  <c r="O680" i="7"/>
  <c r="S680" i="7" s="1"/>
  <c r="T680" i="7" s="1"/>
  <c r="O681" i="7"/>
  <c r="S681" i="7" s="1"/>
  <c r="T681" i="7" s="1"/>
  <c r="O682" i="7"/>
  <c r="S682" i="7" s="1"/>
  <c r="T682" i="7" s="1"/>
  <c r="O683" i="7"/>
  <c r="S683" i="7" s="1"/>
  <c r="T683" i="7" s="1"/>
  <c r="O684" i="7"/>
  <c r="S684" i="7" s="1"/>
  <c r="T684" i="7" s="1"/>
  <c r="O685" i="7"/>
  <c r="S685" i="7" s="1"/>
  <c r="T685" i="7" s="1"/>
  <c r="Q644" i="7" l="1"/>
  <c r="U644" i="7"/>
  <c r="V644" i="7"/>
  <c r="W644" i="7"/>
  <c r="Q645" i="7"/>
  <c r="U645" i="7"/>
  <c r="V645" i="7"/>
  <c r="W645" i="7"/>
  <c r="Q646" i="7"/>
  <c r="U646" i="7"/>
  <c r="V646" i="7"/>
  <c r="W646" i="7"/>
  <c r="Q647" i="7"/>
  <c r="U647" i="7"/>
  <c r="V647" i="7"/>
  <c r="W647" i="7"/>
  <c r="Q648" i="7"/>
  <c r="U648" i="7"/>
  <c r="V648" i="7"/>
  <c r="W648" i="7"/>
  <c r="Q649" i="7"/>
  <c r="U649" i="7"/>
  <c r="V649" i="7"/>
  <c r="W649" i="7"/>
  <c r="Q651" i="7"/>
  <c r="U651" i="7"/>
  <c r="V651" i="7"/>
  <c r="W651" i="7"/>
  <c r="Q650" i="7"/>
  <c r="U650" i="7"/>
  <c r="V650" i="7"/>
  <c r="W650" i="7"/>
  <c r="Q652" i="7"/>
  <c r="R652" i="7" s="1"/>
  <c r="U652" i="7"/>
  <c r="V652" i="7"/>
  <c r="W652" i="7"/>
  <c r="Q653" i="7"/>
  <c r="R654" i="7" s="1"/>
  <c r="U653" i="7"/>
  <c r="V653" i="7"/>
  <c r="W653" i="7"/>
  <c r="Q654" i="7"/>
  <c r="U654" i="7"/>
  <c r="V654" i="7"/>
  <c r="W654" i="7"/>
  <c r="Q655" i="7"/>
  <c r="U655" i="7"/>
  <c r="V655" i="7"/>
  <c r="W655" i="7"/>
  <c r="Q656" i="7"/>
  <c r="U656" i="7"/>
  <c r="V656" i="7"/>
  <c r="W656" i="7"/>
  <c r="Q657" i="7"/>
  <c r="R657" i="7" s="1"/>
  <c r="U657" i="7"/>
  <c r="V657" i="7"/>
  <c r="W657" i="7"/>
  <c r="Q658" i="7"/>
  <c r="U658" i="7"/>
  <c r="V658" i="7"/>
  <c r="W658" i="7"/>
  <c r="Q659" i="7"/>
  <c r="U659" i="7"/>
  <c r="V659" i="7"/>
  <c r="W659" i="7"/>
  <c r="Q660" i="7"/>
  <c r="U660" i="7"/>
  <c r="V660" i="7"/>
  <c r="W660" i="7"/>
  <c r="Q661" i="7"/>
  <c r="U661" i="7"/>
  <c r="V661" i="7"/>
  <c r="W661" i="7"/>
  <c r="Q662" i="7"/>
  <c r="R663" i="7" s="1"/>
  <c r="U662" i="7"/>
  <c r="V662" i="7"/>
  <c r="W662" i="7"/>
  <c r="O653" i="7"/>
  <c r="O654" i="7"/>
  <c r="O655" i="7"/>
  <c r="O656" i="7"/>
  <c r="O657" i="7"/>
  <c r="O658" i="7"/>
  <c r="O659" i="7"/>
  <c r="O660" i="7"/>
  <c r="O661" i="7"/>
  <c r="O662" i="7"/>
  <c r="O663" i="7"/>
  <c r="O664" i="7"/>
  <c r="S664" i="7" s="1"/>
  <c r="T664" i="7" s="1"/>
  <c r="O665" i="7"/>
  <c r="S665" i="7" s="1"/>
  <c r="T665" i="7" s="1"/>
  <c r="O666" i="7"/>
  <c r="O667" i="7"/>
  <c r="S667" i="7" s="1"/>
  <c r="T667" i="7" s="1"/>
  <c r="O668" i="7"/>
  <c r="S668" i="7" s="1"/>
  <c r="T668" i="7" s="1"/>
  <c r="O669" i="7"/>
  <c r="S669" i="7" s="1"/>
  <c r="T669" i="7" s="1"/>
  <c r="O670" i="7"/>
  <c r="O671" i="7"/>
  <c r="S671" i="7" s="1"/>
  <c r="T671" i="7" s="1"/>
  <c r="O672" i="7"/>
  <c r="S672" i="7" s="1"/>
  <c r="T672" i="7" s="1"/>
  <c r="O678" i="7"/>
  <c r="S678" i="7" s="1"/>
  <c r="T678" i="7" s="1"/>
  <c r="L658" i="7"/>
  <c r="L659" i="7"/>
  <c r="L660" i="7"/>
  <c r="L661" i="7"/>
  <c r="L662" i="7"/>
  <c r="L663" i="7"/>
  <c r="L664" i="7"/>
  <c r="L665" i="7"/>
  <c r="P665" i="7" s="1"/>
  <c r="L666" i="7"/>
  <c r="P666" i="7" s="1"/>
  <c r="L667" i="7"/>
  <c r="L668" i="7"/>
  <c r="P668" i="7" s="1"/>
  <c r="L669" i="7"/>
  <c r="P669" i="7" s="1"/>
  <c r="L670" i="7"/>
  <c r="P670" i="7" s="1"/>
  <c r="L671" i="7"/>
  <c r="L672" i="7"/>
  <c r="L673" i="7"/>
  <c r="P673" i="7" s="1"/>
  <c r="L674" i="7"/>
  <c r="P674" i="7" s="1"/>
  <c r="L675" i="7"/>
  <c r="P675" i="7" s="1"/>
  <c r="L676" i="7"/>
  <c r="P676" i="7" s="1"/>
  <c r="L677" i="7"/>
  <c r="P677" i="7" s="1"/>
  <c r="L678" i="7"/>
  <c r="L679" i="7"/>
  <c r="P679" i="7" s="1"/>
  <c r="L680" i="7"/>
  <c r="P680" i="7" s="1"/>
  <c r="L681" i="7"/>
  <c r="P681" i="7" s="1"/>
  <c r="L682" i="7"/>
  <c r="P682" i="7" s="1"/>
  <c r="L683" i="7"/>
  <c r="P683" i="7" s="1"/>
  <c r="L684" i="7"/>
  <c r="P684" i="7" s="1"/>
  <c r="L685" i="7"/>
  <c r="P685" i="7" s="1"/>
  <c r="S663" i="7" l="1"/>
  <c r="T663" i="7" s="1"/>
  <c r="P663" i="7"/>
  <c r="M659" i="7"/>
  <c r="P659" i="7"/>
  <c r="M658" i="7"/>
  <c r="P658" i="7"/>
  <c r="M660" i="7"/>
  <c r="P660" i="7"/>
  <c r="M661" i="7"/>
  <c r="P661" i="7"/>
  <c r="M667" i="7"/>
  <c r="P667" i="7"/>
  <c r="M672" i="7"/>
  <c r="P672" i="7"/>
  <c r="M662" i="7"/>
  <c r="P662" i="7"/>
  <c r="M671" i="7"/>
  <c r="P671" i="7"/>
  <c r="M678" i="7"/>
  <c r="P678" i="7"/>
  <c r="M664" i="7"/>
  <c r="P664" i="7"/>
  <c r="M665" i="7"/>
  <c r="R646" i="7"/>
  <c r="R645" i="7"/>
  <c r="R649" i="7"/>
  <c r="R660" i="7"/>
  <c r="M680" i="7"/>
  <c r="S657" i="7"/>
  <c r="T657" i="7" s="1"/>
  <c r="R658" i="7"/>
  <c r="S658" i="7" s="1"/>
  <c r="T658" i="7" s="1"/>
  <c r="M669" i="7"/>
  <c r="S660" i="7"/>
  <c r="T660" i="7" s="1"/>
  <c r="M673" i="7"/>
  <c r="R662" i="7"/>
  <c r="S662" i="7" s="1"/>
  <c r="M663" i="7"/>
  <c r="R648" i="7"/>
  <c r="M670" i="7"/>
  <c r="R650" i="7"/>
  <c r="M677" i="7"/>
  <c r="R655" i="7"/>
  <c r="S655" i="7" s="1"/>
  <c r="T655" i="7" s="1"/>
  <c r="M685" i="7"/>
  <c r="M682" i="7"/>
  <c r="M684" i="7"/>
  <c r="M675" i="7"/>
  <c r="S654" i="7"/>
  <c r="T654" i="7" s="1"/>
  <c r="R656" i="7"/>
  <c r="S656" i="7" s="1"/>
  <c r="R661" i="7"/>
  <c r="S661" i="7" s="1"/>
  <c r="M676" i="7"/>
  <c r="R659" i="7"/>
  <c r="S659" i="7" s="1"/>
  <c r="T659" i="7" s="1"/>
  <c r="M668" i="7"/>
  <c r="R651" i="7"/>
  <c r="R647" i="7"/>
  <c r="R653" i="7"/>
  <c r="S653" i="7" s="1"/>
  <c r="T653" i="7" s="1"/>
  <c r="M666" i="7"/>
  <c r="M679" i="7"/>
  <c r="M681" i="7"/>
  <c r="M674" i="7"/>
  <c r="M683" i="7"/>
  <c r="T662" i="7" l="1"/>
  <c r="T661" i="7"/>
  <c r="T656" i="7"/>
  <c r="T8" i="10" l="1"/>
  <c r="AH57" i="10"/>
  <c r="AG57" i="10"/>
  <c r="AF57" i="10"/>
  <c r="O644" i="7"/>
  <c r="O645" i="7"/>
  <c r="S645" i="7" s="1"/>
  <c r="T645" i="7" s="1"/>
  <c r="O646" i="7"/>
  <c r="S646" i="7" s="1"/>
  <c r="T646" i="7" s="1"/>
  <c r="O647" i="7"/>
  <c r="S647" i="7" s="1"/>
  <c r="T647" i="7" s="1"/>
  <c r="O648" i="7"/>
  <c r="S648" i="7" s="1"/>
  <c r="T648" i="7" s="1"/>
  <c r="O649" i="7"/>
  <c r="S649" i="7" s="1"/>
  <c r="T649" i="7" s="1"/>
  <c r="O651" i="7"/>
  <c r="S651" i="7" s="1"/>
  <c r="T651" i="7" s="1"/>
  <c r="O650" i="7"/>
  <c r="S650" i="7" s="1"/>
  <c r="T650" i="7" s="1"/>
  <c r="O652" i="7"/>
  <c r="S652" i="7" s="1"/>
  <c r="T652" i="7" s="1"/>
  <c r="L645" i="7"/>
  <c r="L646" i="7"/>
  <c r="P646" i="7" s="1"/>
  <c r="L647" i="7"/>
  <c r="L648" i="7"/>
  <c r="L649" i="7"/>
  <c r="L651" i="7"/>
  <c r="L650" i="7"/>
  <c r="P650" i="7" s="1"/>
  <c r="L652" i="7"/>
  <c r="P652" i="7" s="1"/>
  <c r="L653" i="7"/>
  <c r="P653" i="7" s="1"/>
  <c r="L654" i="7"/>
  <c r="P654" i="7" s="1"/>
  <c r="L655" i="7"/>
  <c r="P655" i="7" s="1"/>
  <c r="L656" i="7"/>
  <c r="P656" i="7" s="1"/>
  <c r="L657" i="7"/>
  <c r="P657" i="7" s="1"/>
  <c r="M648" i="7" l="1"/>
  <c r="P648" i="7"/>
  <c r="M649" i="7"/>
  <c r="P649" i="7"/>
  <c r="M647" i="7"/>
  <c r="P647" i="7"/>
  <c r="M645" i="7"/>
  <c r="P645" i="7"/>
  <c r="M651" i="7"/>
  <c r="P651" i="7"/>
  <c r="M657" i="7"/>
  <c r="M655" i="7"/>
  <c r="M654" i="7"/>
  <c r="M653" i="7"/>
  <c r="M652" i="7"/>
  <c r="M656" i="7"/>
  <c r="M646" i="7"/>
  <c r="M650" i="7"/>
  <c r="R71" i="10" l="1"/>
  <c r="S71" i="10"/>
  <c r="T71" i="10"/>
  <c r="Q71" i="10"/>
  <c r="X71" i="10"/>
  <c r="Y71" i="10"/>
  <c r="Z71" i="10"/>
  <c r="AA71" i="10"/>
  <c r="AB71" i="10"/>
  <c r="AC71" i="10"/>
  <c r="AD71" i="10"/>
  <c r="W71" i="10"/>
  <c r="Q635" i="7"/>
  <c r="U635" i="7"/>
  <c r="V635" i="7"/>
  <c r="W635" i="7"/>
  <c r="Q634" i="7"/>
  <c r="U634" i="7"/>
  <c r="V634" i="7"/>
  <c r="W634" i="7"/>
  <c r="Q636" i="7"/>
  <c r="U636" i="7"/>
  <c r="V636" i="7"/>
  <c r="W636" i="7"/>
  <c r="Q637" i="7"/>
  <c r="U637" i="7"/>
  <c r="V637" i="7"/>
  <c r="W637" i="7"/>
  <c r="Q638" i="7"/>
  <c r="U638" i="7"/>
  <c r="V638" i="7"/>
  <c r="W638" i="7"/>
  <c r="Q639" i="7"/>
  <c r="U639" i="7"/>
  <c r="V639" i="7"/>
  <c r="W639" i="7"/>
  <c r="Q640" i="7"/>
  <c r="U640" i="7"/>
  <c r="V640" i="7"/>
  <c r="W640" i="7"/>
  <c r="Q641" i="7"/>
  <c r="U641" i="7"/>
  <c r="V641" i="7"/>
  <c r="W641" i="7"/>
  <c r="Q642" i="7"/>
  <c r="U642" i="7"/>
  <c r="V642" i="7"/>
  <c r="W642" i="7"/>
  <c r="Q643" i="7"/>
  <c r="R644" i="7" s="1"/>
  <c r="U643" i="7"/>
  <c r="V643" i="7"/>
  <c r="W643" i="7"/>
  <c r="O639" i="7"/>
  <c r="O640" i="7"/>
  <c r="O641" i="7"/>
  <c r="O642" i="7"/>
  <c r="O643" i="7"/>
  <c r="L640" i="7"/>
  <c r="L641" i="7"/>
  <c r="P641" i="7" s="1"/>
  <c r="L642" i="7"/>
  <c r="L643" i="7"/>
  <c r="L644" i="7"/>
  <c r="P644" i="7" s="1"/>
  <c r="M640" i="7" l="1"/>
  <c r="P640" i="7"/>
  <c r="M643" i="7"/>
  <c r="P643" i="7"/>
  <c r="M642" i="7"/>
  <c r="P642" i="7"/>
  <c r="AD73" i="10"/>
  <c r="T73" i="10"/>
  <c r="S644" i="7"/>
  <c r="T644" i="7" s="1"/>
  <c r="Z73" i="10"/>
  <c r="R642" i="7"/>
  <c r="S642" i="7" s="1"/>
  <c r="T642" i="7" s="1"/>
  <c r="R637" i="7"/>
  <c r="R639" i="7"/>
  <c r="S639" i="7" s="1"/>
  <c r="T639" i="7" s="1"/>
  <c r="R641" i="7"/>
  <c r="T641" i="7" s="1"/>
  <c r="R636" i="7"/>
  <c r="R640" i="7"/>
  <c r="S640" i="7" s="1"/>
  <c r="T640" i="7" s="1"/>
  <c r="R643" i="7"/>
  <c r="S643" i="7" s="1"/>
  <c r="R638" i="7"/>
  <c r="M644" i="7"/>
  <c r="M641" i="7"/>
  <c r="S641" i="7" l="1"/>
  <c r="T643" i="7"/>
  <c r="AF53" i="10" l="1"/>
  <c r="AG53" i="10"/>
  <c r="AH53" i="10"/>
  <c r="AF54" i="10"/>
  <c r="AG54" i="10"/>
  <c r="AH54" i="10"/>
  <c r="AF55" i="10"/>
  <c r="AG55" i="10"/>
  <c r="AH55" i="10"/>
  <c r="AF56" i="10"/>
  <c r="AG56" i="10"/>
  <c r="AH56" i="10"/>
  <c r="AE9" i="10"/>
  <c r="AF9" i="10"/>
  <c r="AG9" i="10"/>
  <c r="AH9" i="10"/>
  <c r="AE10" i="10"/>
  <c r="AF10" i="10"/>
  <c r="AG10" i="10"/>
  <c r="AH10" i="10"/>
  <c r="AE11" i="10"/>
  <c r="AF11" i="10"/>
  <c r="AG11" i="10"/>
  <c r="AH11" i="10"/>
  <c r="AE12" i="10"/>
  <c r="AF12" i="10"/>
  <c r="AG12" i="10"/>
  <c r="AH12" i="10"/>
  <c r="AE13" i="10"/>
  <c r="AF13" i="10"/>
  <c r="AG13" i="10"/>
  <c r="AH13" i="10"/>
  <c r="AE14" i="10"/>
  <c r="AF14" i="10"/>
  <c r="AG14" i="10"/>
  <c r="AH14" i="10"/>
  <c r="AE15" i="10"/>
  <c r="AF15" i="10"/>
  <c r="AG15" i="10"/>
  <c r="AH15" i="10"/>
  <c r="AE16" i="10"/>
  <c r="AF16" i="10"/>
  <c r="AG16" i="10"/>
  <c r="AH16" i="10"/>
  <c r="AE17" i="10"/>
  <c r="AF17" i="10"/>
  <c r="AG17" i="10"/>
  <c r="AH17" i="10"/>
  <c r="AE18" i="10"/>
  <c r="AF18" i="10"/>
  <c r="AG18" i="10"/>
  <c r="AH18" i="10"/>
  <c r="AE19" i="10"/>
  <c r="AF19" i="10"/>
  <c r="AG19" i="10"/>
  <c r="AH19" i="10"/>
  <c r="AE20" i="10"/>
  <c r="AF20" i="10"/>
  <c r="AG20" i="10"/>
  <c r="AH20" i="10"/>
  <c r="AE21" i="10"/>
  <c r="AF21" i="10"/>
  <c r="AG21" i="10"/>
  <c r="AH21" i="10"/>
  <c r="AE22" i="10"/>
  <c r="AF22" i="10"/>
  <c r="AG22" i="10"/>
  <c r="AH22" i="10"/>
  <c r="AE23" i="10"/>
  <c r="AF23" i="10"/>
  <c r="AG23" i="10"/>
  <c r="AH23" i="10"/>
  <c r="AE24" i="10"/>
  <c r="AF24" i="10"/>
  <c r="AG24" i="10"/>
  <c r="AH24" i="10"/>
  <c r="AE25" i="10"/>
  <c r="AF25" i="10"/>
  <c r="AG25" i="10"/>
  <c r="AH25" i="10"/>
  <c r="AE26" i="10"/>
  <c r="AF26" i="10"/>
  <c r="AG26" i="10"/>
  <c r="AH26" i="10"/>
  <c r="AE27" i="10"/>
  <c r="AF27" i="10"/>
  <c r="AG27" i="10"/>
  <c r="AH27" i="10"/>
  <c r="AE28" i="10"/>
  <c r="AF28" i="10"/>
  <c r="AG28" i="10"/>
  <c r="AH28" i="10"/>
  <c r="AE29" i="10"/>
  <c r="AF29" i="10"/>
  <c r="AG29" i="10"/>
  <c r="AH29" i="10"/>
  <c r="AE30" i="10"/>
  <c r="AF30" i="10"/>
  <c r="AG30" i="10"/>
  <c r="AH30" i="10"/>
  <c r="AE31" i="10"/>
  <c r="AF31" i="10"/>
  <c r="AG31" i="10"/>
  <c r="AH31" i="10"/>
  <c r="AE32" i="10"/>
  <c r="AF32" i="10"/>
  <c r="AG32" i="10"/>
  <c r="AH32" i="10"/>
  <c r="AE33" i="10"/>
  <c r="AF33" i="10"/>
  <c r="AG33" i="10"/>
  <c r="AH33" i="10"/>
  <c r="AE34" i="10"/>
  <c r="AF34" i="10"/>
  <c r="AG34" i="10"/>
  <c r="AH34" i="10"/>
  <c r="AE35" i="10"/>
  <c r="AF35" i="10"/>
  <c r="AG35" i="10"/>
  <c r="AH35" i="10"/>
  <c r="AE36" i="10"/>
  <c r="AF36" i="10"/>
  <c r="AG36" i="10"/>
  <c r="AH36" i="10"/>
  <c r="AE37" i="10"/>
  <c r="AF37" i="10"/>
  <c r="AG37" i="10"/>
  <c r="AH37" i="10"/>
  <c r="AE38" i="10"/>
  <c r="AF38" i="10"/>
  <c r="AG38" i="10"/>
  <c r="AH38" i="10"/>
  <c r="AE39" i="10"/>
  <c r="AF39" i="10"/>
  <c r="AG39" i="10"/>
  <c r="AH39" i="10"/>
  <c r="AE40" i="10"/>
  <c r="AF40" i="10"/>
  <c r="AG40" i="10"/>
  <c r="AH40" i="10"/>
  <c r="AE41" i="10"/>
  <c r="AF41" i="10"/>
  <c r="AG41" i="10"/>
  <c r="AH41" i="10"/>
  <c r="AE42" i="10"/>
  <c r="AF42" i="10"/>
  <c r="AG42" i="10"/>
  <c r="AH42" i="10"/>
  <c r="AE43" i="10"/>
  <c r="AF43" i="10"/>
  <c r="AG43" i="10"/>
  <c r="AH43" i="10"/>
  <c r="AE44" i="10"/>
  <c r="AF44" i="10"/>
  <c r="AG44" i="10"/>
  <c r="AH44" i="10"/>
  <c r="AE45" i="10"/>
  <c r="AF45" i="10"/>
  <c r="AG45" i="10"/>
  <c r="AH45" i="10"/>
  <c r="AE46" i="10"/>
  <c r="AF46" i="10"/>
  <c r="AG46" i="10"/>
  <c r="AH46" i="10"/>
  <c r="AF47" i="10"/>
  <c r="AG47" i="10"/>
  <c r="AH47" i="10"/>
  <c r="AF48" i="10"/>
  <c r="AG48" i="10"/>
  <c r="AH48" i="10"/>
  <c r="AF49" i="10"/>
  <c r="AG49" i="10"/>
  <c r="AH49" i="10"/>
  <c r="AF50" i="10"/>
  <c r="AG50" i="10"/>
  <c r="AH50" i="10"/>
  <c r="AF51" i="10"/>
  <c r="AG51" i="10"/>
  <c r="AH51" i="10"/>
  <c r="AF52" i="10"/>
  <c r="AG52" i="10"/>
  <c r="AH52" i="10"/>
  <c r="AF8" i="10"/>
  <c r="AG8" i="10"/>
  <c r="AH8" i="10"/>
  <c r="AE8" i="10"/>
  <c r="AE71" i="10" l="1"/>
  <c r="AF71" i="10"/>
  <c r="AH71" i="10"/>
  <c r="AG71" i="10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49" i="7"/>
  <c r="U50" i="7"/>
  <c r="U51" i="7"/>
  <c r="U52" i="7"/>
  <c r="U53" i="7"/>
  <c r="U54" i="7"/>
  <c r="U56" i="7"/>
  <c r="U55" i="7"/>
  <c r="U57" i="7"/>
  <c r="U58" i="7"/>
  <c r="U59" i="7"/>
  <c r="U60" i="7"/>
  <c r="U61" i="7"/>
  <c r="U62" i="7"/>
  <c r="U63" i="7"/>
  <c r="U64" i="7"/>
  <c r="U65" i="7"/>
  <c r="U67" i="7"/>
  <c r="U66" i="7"/>
  <c r="U68" i="7"/>
  <c r="U69" i="7"/>
  <c r="U70" i="7"/>
  <c r="U71" i="7"/>
  <c r="U72" i="7"/>
  <c r="U73" i="7"/>
  <c r="U74" i="7"/>
  <c r="U75" i="7"/>
  <c r="U76" i="7"/>
  <c r="U77" i="7"/>
  <c r="U78" i="7"/>
  <c r="U79" i="7"/>
  <c r="U80" i="7"/>
  <c r="U81" i="7"/>
  <c r="U83" i="7"/>
  <c r="U82" i="7"/>
  <c r="U84" i="7"/>
  <c r="U85" i="7"/>
  <c r="U86" i="7"/>
  <c r="U87" i="7"/>
  <c r="U88" i="7"/>
  <c r="U89" i="7"/>
  <c r="U90" i="7"/>
  <c r="U91" i="7"/>
  <c r="U92" i="7"/>
  <c r="U93" i="7"/>
  <c r="U94" i="7"/>
  <c r="U95" i="7"/>
  <c r="U96" i="7"/>
  <c r="U97" i="7"/>
  <c r="U98" i="7"/>
  <c r="U99" i="7"/>
  <c r="U100" i="7"/>
  <c r="U101" i="7"/>
  <c r="U102" i="7"/>
  <c r="U103" i="7"/>
  <c r="U104" i="7"/>
  <c r="U105" i="7"/>
  <c r="U106" i="7"/>
  <c r="U107" i="7"/>
  <c r="U108" i="7"/>
  <c r="U109" i="7"/>
  <c r="U110" i="7"/>
  <c r="U111" i="7"/>
  <c r="U112" i="7"/>
  <c r="U113" i="7"/>
  <c r="U114" i="7"/>
  <c r="U115" i="7"/>
  <c r="U116" i="7"/>
  <c r="U117" i="7"/>
  <c r="U118" i="7"/>
  <c r="U119" i="7"/>
  <c r="U120" i="7"/>
  <c r="U121" i="7"/>
  <c r="U122" i="7"/>
  <c r="U123" i="7"/>
  <c r="U124" i="7"/>
  <c r="U125" i="7"/>
  <c r="U126" i="7"/>
  <c r="U127" i="7"/>
  <c r="U128" i="7"/>
  <c r="U129" i="7"/>
  <c r="U130" i="7"/>
  <c r="U131" i="7"/>
  <c r="U132" i="7"/>
  <c r="U133" i="7"/>
  <c r="U134" i="7"/>
  <c r="U135" i="7"/>
  <c r="U136" i="7"/>
  <c r="U137" i="7"/>
  <c r="U138" i="7"/>
  <c r="U139" i="7"/>
  <c r="U140" i="7"/>
  <c r="U141" i="7"/>
  <c r="U142" i="7"/>
  <c r="U143" i="7"/>
  <c r="U144" i="7"/>
  <c r="U145" i="7"/>
  <c r="U146" i="7"/>
  <c r="U147" i="7"/>
  <c r="U148" i="7"/>
  <c r="U149" i="7"/>
  <c r="U150" i="7"/>
  <c r="U151" i="7"/>
  <c r="U152" i="7"/>
  <c r="U153" i="7"/>
  <c r="U154" i="7"/>
  <c r="U155" i="7"/>
  <c r="U156" i="7"/>
  <c r="U157" i="7"/>
  <c r="U158" i="7"/>
  <c r="U159" i="7"/>
  <c r="U160" i="7"/>
  <c r="U161" i="7"/>
  <c r="U162" i="7"/>
  <c r="U163" i="7"/>
  <c r="U164" i="7"/>
  <c r="U165" i="7"/>
  <c r="U166" i="7"/>
  <c r="U167" i="7"/>
  <c r="U168" i="7"/>
  <c r="U169" i="7"/>
  <c r="U170" i="7"/>
  <c r="U171" i="7"/>
  <c r="U172" i="7"/>
  <c r="U173" i="7"/>
  <c r="U174" i="7"/>
  <c r="U175" i="7"/>
  <c r="U176" i="7"/>
  <c r="U177" i="7"/>
  <c r="U178" i="7"/>
  <c r="U179" i="7"/>
  <c r="U180" i="7"/>
  <c r="U181" i="7"/>
  <c r="U182" i="7"/>
  <c r="U183" i="7"/>
  <c r="U184" i="7"/>
  <c r="U186" i="7"/>
  <c r="U185" i="7"/>
  <c r="U187" i="7"/>
  <c r="U188" i="7"/>
  <c r="U189" i="7"/>
  <c r="U190" i="7"/>
  <c r="U191" i="7"/>
  <c r="U192" i="7"/>
  <c r="U193" i="7"/>
  <c r="U194" i="7"/>
  <c r="U195" i="7"/>
  <c r="U196" i="7"/>
  <c r="U197" i="7"/>
  <c r="U198" i="7"/>
  <c r="U199" i="7"/>
  <c r="U200" i="7"/>
  <c r="U201" i="7"/>
  <c r="U202" i="7"/>
  <c r="U203" i="7"/>
  <c r="U204" i="7"/>
  <c r="U205" i="7"/>
  <c r="U206" i="7"/>
  <c r="U207" i="7"/>
  <c r="U208" i="7"/>
  <c r="U209" i="7"/>
  <c r="U210" i="7"/>
  <c r="U211" i="7"/>
  <c r="U212" i="7"/>
  <c r="U213" i="7"/>
  <c r="U214" i="7"/>
  <c r="U215" i="7"/>
  <c r="U216" i="7"/>
  <c r="U217" i="7"/>
  <c r="U218" i="7"/>
  <c r="U219" i="7"/>
  <c r="U220" i="7"/>
  <c r="U221" i="7"/>
  <c r="U222" i="7"/>
  <c r="U223" i="7"/>
  <c r="U224" i="7"/>
  <c r="U225" i="7"/>
  <c r="U226" i="7"/>
  <c r="U227" i="7"/>
  <c r="U228" i="7"/>
  <c r="U229" i="7"/>
  <c r="U230" i="7"/>
  <c r="U231" i="7"/>
  <c r="U232" i="7"/>
  <c r="U233" i="7"/>
  <c r="U234" i="7"/>
  <c r="U235" i="7"/>
  <c r="U236" i="7"/>
  <c r="U237" i="7"/>
  <c r="U238" i="7"/>
  <c r="U239" i="7"/>
  <c r="U240" i="7"/>
  <c r="U241" i="7"/>
  <c r="U242" i="7"/>
  <c r="U243" i="7"/>
  <c r="U244" i="7"/>
  <c r="U245" i="7"/>
  <c r="U246" i="7"/>
  <c r="U247" i="7"/>
  <c r="U248" i="7"/>
  <c r="U249" i="7"/>
  <c r="U250" i="7"/>
  <c r="U251" i="7"/>
  <c r="U252" i="7"/>
  <c r="U253" i="7"/>
  <c r="U254" i="7"/>
  <c r="U255" i="7"/>
  <c r="U256" i="7"/>
  <c r="U257" i="7"/>
  <c r="U258" i="7"/>
  <c r="U259" i="7"/>
  <c r="U260" i="7"/>
  <c r="U261" i="7"/>
  <c r="U262" i="7"/>
  <c r="U264" i="7"/>
  <c r="U263" i="7"/>
  <c r="U265" i="7"/>
  <c r="U266" i="7"/>
  <c r="U267" i="7"/>
  <c r="U268" i="7"/>
  <c r="U269" i="7"/>
  <c r="U270" i="7"/>
  <c r="U271" i="7"/>
  <c r="U272" i="7"/>
  <c r="U273" i="7"/>
  <c r="U274" i="7"/>
  <c r="U275" i="7"/>
  <c r="U276" i="7"/>
  <c r="U277" i="7"/>
  <c r="U278" i="7"/>
  <c r="U279" i="7"/>
  <c r="U280" i="7"/>
  <c r="U281" i="7"/>
  <c r="U282" i="7"/>
  <c r="U283" i="7"/>
  <c r="U284" i="7"/>
  <c r="U285" i="7"/>
  <c r="U286" i="7"/>
  <c r="U287" i="7"/>
  <c r="U288" i="7"/>
  <c r="U289" i="7"/>
  <c r="U290" i="7"/>
  <c r="U291" i="7"/>
  <c r="U292" i="7"/>
  <c r="U293" i="7"/>
  <c r="U294" i="7"/>
  <c r="U295" i="7"/>
  <c r="U296" i="7"/>
  <c r="U297" i="7"/>
  <c r="U298" i="7"/>
  <c r="U299" i="7"/>
  <c r="U300" i="7"/>
  <c r="U301" i="7"/>
  <c r="U302" i="7"/>
  <c r="U303" i="7"/>
  <c r="U304" i="7"/>
  <c r="U305" i="7"/>
  <c r="U306" i="7"/>
  <c r="U307" i="7"/>
  <c r="U308" i="7"/>
  <c r="U309" i="7"/>
  <c r="U310" i="7"/>
  <c r="U311" i="7"/>
  <c r="U312" i="7"/>
  <c r="U313" i="7"/>
  <c r="U314" i="7"/>
  <c r="U315" i="7"/>
  <c r="U316" i="7"/>
  <c r="U317" i="7"/>
  <c r="U318" i="7"/>
  <c r="U319" i="7"/>
  <c r="U320" i="7"/>
  <c r="U321" i="7"/>
  <c r="U322" i="7"/>
  <c r="U323" i="7"/>
  <c r="U325" i="7"/>
  <c r="U324" i="7"/>
  <c r="U326" i="7"/>
  <c r="U327" i="7"/>
  <c r="U328" i="7"/>
  <c r="U329" i="7"/>
  <c r="U330" i="7"/>
  <c r="U331" i="7"/>
  <c r="U332" i="7"/>
  <c r="U333" i="7"/>
  <c r="U335" i="7"/>
  <c r="U334" i="7"/>
  <c r="U336" i="7"/>
  <c r="U338" i="7"/>
  <c r="U337" i="7"/>
  <c r="U339" i="7"/>
  <c r="U340" i="7"/>
  <c r="U341" i="7"/>
  <c r="U342" i="7"/>
  <c r="U343" i="7"/>
  <c r="U344" i="7"/>
  <c r="U345" i="7"/>
  <c r="U346" i="7"/>
  <c r="U347" i="7"/>
  <c r="U348" i="7"/>
  <c r="U349" i="7"/>
  <c r="U350" i="7"/>
  <c r="U351" i="7"/>
  <c r="U352" i="7"/>
  <c r="U353" i="7"/>
  <c r="U354" i="7"/>
  <c r="U355" i="7"/>
  <c r="U356" i="7"/>
  <c r="U357" i="7"/>
  <c r="U358" i="7"/>
  <c r="U359" i="7"/>
  <c r="U361" i="7"/>
  <c r="U360" i="7"/>
  <c r="U362" i="7"/>
  <c r="U363" i="7"/>
  <c r="U364" i="7"/>
  <c r="U365" i="7"/>
  <c r="U366" i="7"/>
  <c r="U367" i="7"/>
  <c r="U368" i="7"/>
  <c r="U369" i="7"/>
  <c r="U370" i="7"/>
  <c r="U371" i="7"/>
  <c r="U372" i="7"/>
  <c r="U373" i="7"/>
  <c r="U374" i="7"/>
  <c r="U375" i="7"/>
  <c r="U376" i="7"/>
  <c r="U377" i="7"/>
  <c r="U378" i="7"/>
  <c r="U379" i="7"/>
  <c r="U380" i="7"/>
  <c r="U381" i="7"/>
  <c r="U382" i="7"/>
  <c r="U383" i="7"/>
  <c r="U384" i="7"/>
  <c r="U385" i="7"/>
  <c r="U386" i="7"/>
  <c r="U387" i="7"/>
  <c r="U388" i="7"/>
  <c r="U389" i="7"/>
  <c r="U390" i="7"/>
  <c r="U391" i="7"/>
  <c r="U392" i="7"/>
  <c r="U393" i="7"/>
  <c r="U394" i="7"/>
  <c r="U395" i="7"/>
  <c r="U396" i="7"/>
  <c r="U397" i="7"/>
  <c r="U398" i="7"/>
  <c r="U399" i="7"/>
  <c r="U400" i="7"/>
  <c r="U401" i="7"/>
  <c r="U402" i="7"/>
  <c r="U403" i="7"/>
  <c r="U404" i="7"/>
  <c r="U405" i="7"/>
  <c r="U406" i="7"/>
  <c r="U407" i="7"/>
  <c r="U408" i="7"/>
  <c r="U409" i="7"/>
  <c r="U410" i="7"/>
  <c r="U411" i="7"/>
  <c r="U412" i="7"/>
  <c r="U413" i="7"/>
  <c r="U414" i="7"/>
  <c r="U415" i="7"/>
  <c r="U416" i="7"/>
  <c r="U417" i="7"/>
  <c r="U418" i="7"/>
  <c r="U419" i="7"/>
  <c r="U420" i="7"/>
  <c r="U421" i="7"/>
  <c r="U422" i="7"/>
  <c r="U423" i="7"/>
  <c r="U424" i="7"/>
  <c r="U425" i="7"/>
  <c r="U426" i="7"/>
  <c r="U427" i="7"/>
  <c r="U428" i="7"/>
  <c r="U429" i="7"/>
  <c r="U430" i="7"/>
  <c r="U431" i="7"/>
  <c r="U432" i="7"/>
  <c r="U433" i="7"/>
  <c r="U434" i="7"/>
  <c r="U435" i="7"/>
  <c r="U436" i="7"/>
  <c r="U437" i="7"/>
  <c r="U438" i="7"/>
  <c r="U439" i="7"/>
  <c r="U440" i="7"/>
  <c r="U441" i="7"/>
  <c r="U442" i="7"/>
  <c r="U443" i="7"/>
  <c r="U444" i="7"/>
  <c r="U445" i="7"/>
  <c r="U446" i="7"/>
  <c r="U447" i="7"/>
  <c r="U448" i="7"/>
  <c r="U449" i="7"/>
  <c r="U450" i="7"/>
  <c r="U451" i="7"/>
  <c r="U452" i="7"/>
  <c r="U453" i="7"/>
  <c r="U454" i="7"/>
  <c r="U455" i="7"/>
  <c r="U456" i="7"/>
  <c r="U457" i="7"/>
  <c r="U458" i="7"/>
  <c r="U459" i="7"/>
  <c r="U460" i="7"/>
  <c r="U461" i="7"/>
  <c r="U462" i="7"/>
  <c r="U463" i="7"/>
  <c r="U464" i="7"/>
  <c r="U465" i="7"/>
  <c r="U466" i="7"/>
  <c r="U467" i="7"/>
  <c r="U468" i="7"/>
  <c r="U469" i="7"/>
  <c r="U470" i="7"/>
  <c r="U471" i="7"/>
  <c r="U472" i="7"/>
  <c r="U473" i="7"/>
  <c r="U474" i="7"/>
  <c r="U475" i="7"/>
  <c r="U476" i="7"/>
  <c r="U477" i="7"/>
  <c r="U478" i="7"/>
  <c r="U479" i="7"/>
  <c r="U480" i="7"/>
  <c r="U481" i="7"/>
  <c r="U482" i="7"/>
  <c r="U483" i="7"/>
  <c r="U484" i="7"/>
  <c r="U485" i="7"/>
  <c r="U486" i="7"/>
  <c r="U487" i="7"/>
  <c r="U488" i="7"/>
  <c r="U489" i="7"/>
  <c r="U490" i="7"/>
  <c r="U491" i="7"/>
  <c r="U492" i="7"/>
  <c r="U493" i="7"/>
  <c r="U494" i="7"/>
  <c r="U495" i="7"/>
  <c r="U496" i="7"/>
  <c r="U497" i="7"/>
  <c r="U498" i="7"/>
  <c r="U499" i="7"/>
  <c r="U501" i="7"/>
  <c r="U500" i="7"/>
  <c r="U502" i="7"/>
  <c r="U503" i="7"/>
  <c r="U504" i="7"/>
  <c r="U505" i="7"/>
  <c r="U506" i="7"/>
  <c r="U507" i="7"/>
  <c r="U508" i="7"/>
  <c r="U509" i="7"/>
  <c r="U510" i="7"/>
  <c r="U511" i="7"/>
  <c r="U512" i="7"/>
  <c r="U513" i="7"/>
  <c r="U514" i="7"/>
  <c r="U516" i="7"/>
  <c r="U515" i="7"/>
  <c r="U517" i="7"/>
  <c r="U518" i="7"/>
  <c r="U519" i="7"/>
  <c r="U520" i="7"/>
  <c r="U521" i="7"/>
  <c r="U522" i="7"/>
  <c r="U523" i="7"/>
  <c r="U524" i="7"/>
  <c r="U525" i="7"/>
  <c r="U526" i="7"/>
  <c r="U527" i="7"/>
  <c r="U528" i="7"/>
  <c r="U529" i="7"/>
  <c r="U531" i="7"/>
  <c r="U530" i="7"/>
  <c r="U532" i="7"/>
  <c r="U533" i="7"/>
  <c r="U534" i="7"/>
  <c r="U535" i="7"/>
  <c r="U536" i="7"/>
  <c r="U538" i="7"/>
  <c r="U537" i="7"/>
  <c r="U539" i="7"/>
  <c r="U540" i="7"/>
  <c r="U541" i="7"/>
  <c r="U542" i="7"/>
  <c r="U543" i="7"/>
  <c r="U544" i="7"/>
  <c r="U545" i="7"/>
  <c r="U546" i="7"/>
  <c r="U547" i="7"/>
  <c r="U548" i="7"/>
  <c r="U549" i="7"/>
  <c r="U550" i="7"/>
  <c r="U551" i="7"/>
  <c r="U552" i="7"/>
  <c r="U553" i="7"/>
  <c r="U554" i="7"/>
  <c r="U555" i="7"/>
  <c r="U556" i="7"/>
  <c r="U557" i="7"/>
  <c r="U558" i="7"/>
  <c r="U559" i="7"/>
  <c r="U560" i="7"/>
  <c r="U561" i="7"/>
  <c r="U562" i="7"/>
  <c r="U563" i="7"/>
  <c r="U565" i="7"/>
  <c r="U564" i="7"/>
  <c r="U566" i="7"/>
  <c r="U567" i="7"/>
  <c r="U568" i="7"/>
  <c r="U569" i="7"/>
  <c r="U570" i="7"/>
  <c r="U571" i="7"/>
  <c r="U572" i="7"/>
  <c r="U573" i="7"/>
  <c r="U574" i="7"/>
  <c r="U575" i="7"/>
  <c r="U576" i="7"/>
  <c r="U577" i="7"/>
  <c r="U578" i="7"/>
  <c r="U579" i="7"/>
  <c r="U580" i="7"/>
  <c r="U581" i="7"/>
  <c r="U582" i="7"/>
  <c r="U583" i="7"/>
  <c r="U584" i="7"/>
  <c r="U585" i="7"/>
  <c r="U586" i="7"/>
  <c r="U587" i="7"/>
  <c r="U588" i="7"/>
  <c r="U589" i="7"/>
  <c r="U590" i="7"/>
  <c r="U591" i="7"/>
  <c r="U592" i="7"/>
  <c r="U593" i="7"/>
  <c r="U594" i="7"/>
  <c r="U595" i="7"/>
  <c r="U596" i="7"/>
  <c r="U597" i="7"/>
  <c r="U598" i="7"/>
  <c r="U599" i="7"/>
  <c r="U601" i="7"/>
  <c r="U600" i="7"/>
  <c r="U603" i="7"/>
  <c r="U602" i="7"/>
  <c r="U605" i="7"/>
  <c r="U604" i="7"/>
  <c r="U606" i="7"/>
  <c r="U607" i="7"/>
  <c r="U608" i="7"/>
  <c r="U609" i="7"/>
  <c r="U610" i="7"/>
  <c r="U611" i="7"/>
  <c r="U612" i="7"/>
  <c r="U613" i="7"/>
  <c r="U614" i="7"/>
  <c r="U615" i="7"/>
  <c r="U616" i="7"/>
  <c r="U617" i="7"/>
  <c r="U618" i="7"/>
  <c r="U619" i="7"/>
  <c r="U620" i="7"/>
  <c r="U621" i="7"/>
  <c r="U622" i="7"/>
  <c r="U623" i="7"/>
  <c r="U624" i="7"/>
  <c r="U625" i="7"/>
  <c r="U626" i="7"/>
  <c r="U628" i="7"/>
  <c r="U627" i="7"/>
  <c r="U630" i="7"/>
  <c r="U629" i="7"/>
  <c r="U631" i="7"/>
  <c r="U632" i="7"/>
  <c r="U633" i="7"/>
  <c r="AH73" i="10" l="1"/>
  <c r="F71" i="10"/>
  <c r="G71" i="10"/>
  <c r="H71" i="10"/>
  <c r="I71" i="10"/>
  <c r="J71" i="10"/>
  <c r="E71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I74" i="10" l="1"/>
  <c r="F74" i="10"/>
  <c r="M9" i="10"/>
  <c r="M8" i="10"/>
  <c r="L8" i="10"/>
  <c r="L71" i="10" s="1"/>
  <c r="K8" i="10"/>
  <c r="K71" i="10" s="1"/>
  <c r="L74" i="10" l="1"/>
  <c r="M71" i="10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6" i="7"/>
  <c r="Q55" i="7"/>
  <c r="Q57" i="7"/>
  <c r="Q58" i="7"/>
  <c r="Q59" i="7"/>
  <c r="Q60" i="7"/>
  <c r="Q61" i="7"/>
  <c r="Q62" i="7"/>
  <c r="Q63" i="7"/>
  <c r="Q64" i="7"/>
  <c r="Q65" i="7"/>
  <c r="Q67" i="7"/>
  <c r="Q66" i="7"/>
  <c r="Q68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83" i="7"/>
  <c r="Q82" i="7"/>
  <c r="Q84" i="7"/>
  <c r="Q85" i="7"/>
  <c r="Q86" i="7"/>
  <c r="Q87" i="7"/>
  <c r="Q88" i="7"/>
  <c r="Q89" i="7"/>
  <c r="Q90" i="7"/>
  <c r="Q91" i="7"/>
  <c r="Q92" i="7"/>
  <c r="Q93" i="7"/>
  <c r="Q94" i="7"/>
  <c r="Q95" i="7"/>
  <c r="Q96" i="7"/>
  <c r="Q97" i="7"/>
  <c r="Q98" i="7"/>
  <c r="Q99" i="7"/>
  <c r="Q100" i="7"/>
  <c r="Q101" i="7"/>
  <c r="Q102" i="7"/>
  <c r="Q103" i="7"/>
  <c r="Q104" i="7"/>
  <c r="Q105" i="7"/>
  <c r="Q106" i="7"/>
  <c r="Q107" i="7"/>
  <c r="Q108" i="7"/>
  <c r="Q109" i="7"/>
  <c r="Q110" i="7"/>
  <c r="Q111" i="7"/>
  <c r="Q112" i="7"/>
  <c r="Q113" i="7"/>
  <c r="Q114" i="7"/>
  <c r="Q115" i="7"/>
  <c r="Q116" i="7"/>
  <c r="Q117" i="7"/>
  <c r="Q118" i="7"/>
  <c r="Q119" i="7"/>
  <c r="Q120" i="7"/>
  <c r="Q121" i="7"/>
  <c r="Q122" i="7"/>
  <c r="Q123" i="7"/>
  <c r="Q124" i="7"/>
  <c r="Q125" i="7"/>
  <c r="Q126" i="7"/>
  <c r="Q127" i="7"/>
  <c r="Q128" i="7"/>
  <c r="Q129" i="7"/>
  <c r="Q130" i="7"/>
  <c r="Q131" i="7"/>
  <c r="Q132" i="7"/>
  <c r="Q133" i="7"/>
  <c r="Q134" i="7"/>
  <c r="Q135" i="7"/>
  <c r="Q136" i="7"/>
  <c r="Q137" i="7"/>
  <c r="Q138" i="7"/>
  <c r="Q139" i="7"/>
  <c r="Q140" i="7"/>
  <c r="Q141" i="7"/>
  <c r="Q142" i="7"/>
  <c r="Q143" i="7"/>
  <c r="Q144" i="7"/>
  <c r="Q145" i="7"/>
  <c r="Q146" i="7"/>
  <c r="Q147" i="7"/>
  <c r="Q148" i="7"/>
  <c r="Q149" i="7"/>
  <c r="Q150" i="7"/>
  <c r="Q151" i="7"/>
  <c r="Q152" i="7"/>
  <c r="Q153" i="7"/>
  <c r="Q154" i="7"/>
  <c r="Q155" i="7"/>
  <c r="Q156" i="7"/>
  <c r="Q157" i="7"/>
  <c r="Q158" i="7"/>
  <c r="Q159" i="7"/>
  <c r="Q160" i="7"/>
  <c r="Q161" i="7"/>
  <c r="Q162" i="7"/>
  <c r="Q163" i="7"/>
  <c r="Q164" i="7"/>
  <c r="Q165" i="7"/>
  <c r="Q166" i="7"/>
  <c r="Q167" i="7"/>
  <c r="Q168" i="7"/>
  <c r="Q169" i="7"/>
  <c r="Q170" i="7"/>
  <c r="Q171" i="7"/>
  <c r="Q172" i="7"/>
  <c r="Q173" i="7"/>
  <c r="Q174" i="7"/>
  <c r="Q175" i="7"/>
  <c r="Q176" i="7"/>
  <c r="Q177" i="7"/>
  <c r="Q178" i="7"/>
  <c r="Q179" i="7"/>
  <c r="Q180" i="7"/>
  <c r="Q181" i="7"/>
  <c r="Q182" i="7"/>
  <c r="Q183" i="7"/>
  <c r="Q184" i="7"/>
  <c r="Q186" i="7"/>
  <c r="Q185" i="7"/>
  <c r="Q187" i="7"/>
  <c r="Q188" i="7"/>
  <c r="Q189" i="7"/>
  <c r="Q190" i="7"/>
  <c r="Q191" i="7"/>
  <c r="Q192" i="7"/>
  <c r="Q193" i="7"/>
  <c r="Q194" i="7"/>
  <c r="Q195" i="7"/>
  <c r="Q196" i="7"/>
  <c r="Q197" i="7"/>
  <c r="Q198" i="7"/>
  <c r="Q199" i="7"/>
  <c r="Q200" i="7"/>
  <c r="Q201" i="7"/>
  <c r="Q202" i="7"/>
  <c r="Q203" i="7"/>
  <c r="Q204" i="7"/>
  <c r="Q205" i="7"/>
  <c r="Q206" i="7"/>
  <c r="Q207" i="7"/>
  <c r="Q208" i="7"/>
  <c r="Q209" i="7"/>
  <c r="Q210" i="7"/>
  <c r="Q211" i="7"/>
  <c r="Q212" i="7"/>
  <c r="Q213" i="7"/>
  <c r="Q214" i="7"/>
  <c r="Q215" i="7"/>
  <c r="Q216" i="7"/>
  <c r="Q217" i="7"/>
  <c r="Q218" i="7"/>
  <c r="Q219" i="7"/>
  <c r="Q220" i="7"/>
  <c r="Q221" i="7"/>
  <c r="Q222" i="7"/>
  <c r="Q223" i="7"/>
  <c r="Q224" i="7"/>
  <c r="Q225" i="7"/>
  <c r="Q226" i="7"/>
  <c r="Q227" i="7"/>
  <c r="Q228" i="7"/>
  <c r="Q229" i="7"/>
  <c r="Q230" i="7"/>
  <c r="Q231" i="7"/>
  <c r="Q232" i="7"/>
  <c r="Q233" i="7"/>
  <c r="Q234" i="7"/>
  <c r="Q235" i="7"/>
  <c r="Q236" i="7"/>
  <c r="Q237" i="7"/>
  <c r="Q238" i="7"/>
  <c r="Q239" i="7"/>
  <c r="Q240" i="7"/>
  <c r="Q241" i="7"/>
  <c r="Q242" i="7"/>
  <c r="Q243" i="7"/>
  <c r="Q244" i="7"/>
  <c r="Q245" i="7"/>
  <c r="Q246" i="7"/>
  <c r="Q247" i="7"/>
  <c r="Q248" i="7"/>
  <c r="Q249" i="7"/>
  <c r="Q250" i="7"/>
  <c r="Q251" i="7"/>
  <c r="Q252" i="7"/>
  <c r="Q253" i="7"/>
  <c r="Q254" i="7"/>
  <c r="Q255" i="7"/>
  <c r="Q256" i="7"/>
  <c r="Q257" i="7"/>
  <c r="Q258" i="7"/>
  <c r="Q259" i="7"/>
  <c r="Q260" i="7"/>
  <c r="Q261" i="7"/>
  <c r="Q262" i="7"/>
  <c r="Q264" i="7"/>
  <c r="Q263" i="7"/>
  <c r="Q265" i="7"/>
  <c r="Q266" i="7"/>
  <c r="Q267" i="7"/>
  <c r="Q268" i="7"/>
  <c r="Q269" i="7"/>
  <c r="Q270" i="7"/>
  <c r="Q271" i="7"/>
  <c r="Q272" i="7"/>
  <c r="Q273" i="7"/>
  <c r="Q274" i="7"/>
  <c r="Q275" i="7"/>
  <c r="Q276" i="7"/>
  <c r="Q277" i="7"/>
  <c r="Q278" i="7"/>
  <c r="Q279" i="7"/>
  <c r="Q280" i="7"/>
  <c r="Q281" i="7"/>
  <c r="Q282" i="7"/>
  <c r="Q283" i="7"/>
  <c r="Q284" i="7"/>
  <c r="Q285" i="7"/>
  <c r="Q286" i="7"/>
  <c r="Q287" i="7"/>
  <c r="Q288" i="7"/>
  <c r="Q289" i="7"/>
  <c r="Q290" i="7"/>
  <c r="Q291" i="7"/>
  <c r="Q292" i="7"/>
  <c r="Q293" i="7"/>
  <c r="Q294" i="7"/>
  <c r="Q295" i="7"/>
  <c r="Q296" i="7"/>
  <c r="Q297" i="7"/>
  <c r="Q298" i="7"/>
  <c r="Q299" i="7"/>
  <c r="Q300" i="7"/>
  <c r="Q301" i="7"/>
  <c r="Q302" i="7"/>
  <c r="Q303" i="7"/>
  <c r="Q304" i="7"/>
  <c r="Q305" i="7"/>
  <c r="Q306" i="7"/>
  <c r="Q307" i="7"/>
  <c r="Q308" i="7"/>
  <c r="Q309" i="7"/>
  <c r="Q310" i="7"/>
  <c r="Q311" i="7"/>
  <c r="Q312" i="7"/>
  <c r="Q313" i="7"/>
  <c r="Q314" i="7"/>
  <c r="Q315" i="7"/>
  <c r="Q316" i="7"/>
  <c r="Q317" i="7"/>
  <c r="Q318" i="7"/>
  <c r="Q319" i="7"/>
  <c r="Q320" i="7"/>
  <c r="Q321" i="7"/>
  <c r="Q322" i="7"/>
  <c r="Q323" i="7"/>
  <c r="Q325" i="7"/>
  <c r="Q324" i="7"/>
  <c r="Q326" i="7"/>
  <c r="Q327" i="7"/>
  <c r="Q328" i="7"/>
  <c r="Q329" i="7"/>
  <c r="Q330" i="7"/>
  <c r="Q331" i="7"/>
  <c r="Q332" i="7"/>
  <c r="Q333" i="7"/>
  <c r="Q335" i="7"/>
  <c r="Q334" i="7"/>
  <c r="Q336" i="7"/>
  <c r="Q338" i="7"/>
  <c r="Q337" i="7"/>
  <c r="Q339" i="7"/>
  <c r="Q340" i="7"/>
  <c r="Q341" i="7"/>
  <c r="Q342" i="7"/>
  <c r="Q343" i="7"/>
  <c r="Q344" i="7"/>
  <c r="Q345" i="7"/>
  <c r="Q346" i="7"/>
  <c r="Q347" i="7"/>
  <c r="Q348" i="7"/>
  <c r="Q349" i="7"/>
  <c r="Q350" i="7"/>
  <c r="Q351" i="7"/>
  <c r="Q352" i="7"/>
  <c r="Q353" i="7"/>
  <c r="Q354" i="7"/>
  <c r="Q355" i="7"/>
  <c r="Q356" i="7"/>
  <c r="Q357" i="7"/>
  <c r="Q358" i="7"/>
  <c r="Q359" i="7"/>
  <c r="Q361" i="7"/>
  <c r="Q360" i="7"/>
  <c r="Q362" i="7"/>
  <c r="Q363" i="7"/>
  <c r="Q364" i="7"/>
  <c r="Q365" i="7"/>
  <c r="Q366" i="7"/>
  <c r="Q367" i="7"/>
  <c r="Q368" i="7"/>
  <c r="Q369" i="7"/>
  <c r="Q370" i="7"/>
  <c r="Q371" i="7"/>
  <c r="Q372" i="7"/>
  <c r="Q373" i="7"/>
  <c r="Q374" i="7"/>
  <c r="Q375" i="7"/>
  <c r="Q376" i="7"/>
  <c r="Q377" i="7"/>
  <c r="Q378" i="7"/>
  <c r="Q379" i="7"/>
  <c r="Q380" i="7"/>
  <c r="Q381" i="7"/>
  <c r="Q382" i="7"/>
  <c r="Q383" i="7"/>
  <c r="Q384" i="7"/>
  <c r="Q385" i="7"/>
  <c r="Q386" i="7"/>
  <c r="Q387" i="7"/>
  <c r="Q388" i="7"/>
  <c r="Q389" i="7"/>
  <c r="Q390" i="7"/>
  <c r="Q391" i="7"/>
  <c r="Q392" i="7"/>
  <c r="Q393" i="7"/>
  <c r="Q394" i="7"/>
  <c r="Q395" i="7"/>
  <c r="Q396" i="7"/>
  <c r="Q397" i="7"/>
  <c r="Q398" i="7"/>
  <c r="Q399" i="7"/>
  <c r="Q400" i="7"/>
  <c r="Q401" i="7"/>
  <c r="Q402" i="7"/>
  <c r="Q403" i="7"/>
  <c r="Q404" i="7"/>
  <c r="Q405" i="7"/>
  <c r="Q406" i="7"/>
  <c r="Q407" i="7"/>
  <c r="Q408" i="7"/>
  <c r="Q409" i="7"/>
  <c r="Q410" i="7"/>
  <c r="Q411" i="7"/>
  <c r="Q412" i="7"/>
  <c r="Q413" i="7"/>
  <c r="Q414" i="7"/>
  <c r="Q415" i="7"/>
  <c r="Q416" i="7"/>
  <c r="Q417" i="7"/>
  <c r="Q418" i="7"/>
  <c r="Q419" i="7"/>
  <c r="Q420" i="7"/>
  <c r="Q421" i="7"/>
  <c r="Q422" i="7"/>
  <c r="Q423" i="7"/>
  <c r="Q424" i="7"/>
  <c r="Q425" i="7"/>
  <c r="Q426" i="7"/>
  <c r="Q427" i="7"/>
  <c r="Q428" i="7"/>
  <c r="Q429" i="7"/>
  <c r="Q430" i="7"/>
  <c r="Q431" i="7"/>
  <c r="Q432" i="7"/>
  <c r="Q433" i="7"/>
  <c r="Q434" i="7"/>
  <c r="Q435" i="7"/>
  <c r="Q436" i="7"/>
  <c r="Q437" i="7"/>
  <c r="Q438" i="7"/>
  <c r="Q439" i="7"/>
  <c r="Q440" i="7"/>
  <c r="Q441" i="7"/>
  <c r="Q442" i="7"/>
  <c r="Q443" i="7"/>
  <c r="Q444" i="7"/>
  <c r="Q445" i="7"/>
  <c r="Q446" i="7"/>
  <c r="Q447" i="7"/>
  <c r="Q448" i="7"/>
  <c r="Q449" i="7"/>
  <c r="Q450" i="7"/>
  <c r="Q451" i="7"/>
  <c r="Q452" i="7"/>
  <c r="Q453" i="7"/>
  <c r="Q454" i="7"/>
  <c r="Q455" i="7"/>
  <c r="Q456" i="7"/>
  <c r="Q457" i="7"/>
  <c r="Q458" i="7"/>
  <c r="Q459" i="7"/>
  <c r="Q460" i="7"/>
  <c r="Q461" i="7"/>
  <c r="Q462" i="7"/>
  <c r="Q463" i="7"/>
  <c r="Q464" i="7"/>
  <c r="Q465" i="7"/>
  <c r="Q466" i="7"/>
  <c r="Q467" i="7"/>
  <c r="Q468" i="7"/>
  <c r="Q469" i="7"/>
  <c r="Q470" i="7"/>
  <c r="Q471" i="7"/>
  <c r="Q472" i="7"/>
  <c r="Q473" i="7"/>
  <c r="Q474" i="7"/>
  <c r="Q475" i="7"/>
  <c r="Q476" i="7"/>
  <c r="Q477" i="7"/>
  <c r="Q478" i="7"/>
  <c r="Q479" i="7"/>
  <c r="Q480" i="7"/>
  <c r="Q481" i="7"/>
  <c r="Q482" i="7"/>
  <c r="Q483" i="7"/>
  <c r="Q484" i="7"/>
  <c r="Q485" i="7"/>
  <c r="Q486" i="7"/>
  <c r="Q487" i="7"/>
  <c r="Q488" i="7"/>
  <c r="Q489" i="7"/>
  <c r="Q490" i="7"/>
  <c r="Q491" i="7"/>
  <c r="Q492" i="7"/>
  <c r="Q493" i="7"/>
  <c r="Q494" i="7"/>
  <c r="Q495" i="7"/>
  <c r="Q496" i="7"/>
  <c r="Q497" i="7"/>
  <c r="Q498" i="7"/>
  <c r="Q499" i="7"/>
  <c r="Q501" i="7"/>
  <c r="Q500" i="7"/>
  <c r="Q502" i="7"/>
  <c r="Q503" i="7"/>
  <c r="Q504" i="7"/>
  <c r="Q505" i="7"/>
  <c r="Q506" i="7"/>
  <c r="Q507" i="7"/>
  <c r="Q508" i="7"/>
  <c r="Q509" i="7"/>
  <c r="Q510" i="7"/>
  <c r="Q511" i="7"/>
  <c r="Q512" i="7"/>
  <c r="Q513" i="7"/>
  <c r="Q514" i="7"/>
  <c r="Q516" i="7"/>
  <c r="Q515" i="7"/>
  <c r="Q517" i="7"/>
  <c r="Q518" i="7"/>
  <c r="Q519" i="7"/>
  <c r="Q520" i="7"/>
  <c r="Q521" i="7"/>
  <c r="Q522" i="7"/>
  <c r="Q523" i="7"/>
  <c r="Q524" i="7"/>
  <c r="Q525" i="7"/>
  <c r="Q526" i="7"/>
  <c r="Q527" i="7"/>
  <c r="Q528" i="7"/>
  <c r="Q529" i="7"/>
  <c r="Q531" i="7"/>
  <c r="Q530" i="7"/>
  <c r="Q532" i="7"/>
  <c r="Q533" i="7"/>
  <c r="Q534" i="7"/>
  <c r="Q535" i="7"/>
  <c r="Q536" i="7"/>
  <c r="Q538" i="7"/>
  <c r="Q537" i="7"/>
  <c r="Q539" i="7"/>
  <c r="Q540" i="7"/>
  <c r="Q541" i="7"/>
  <c r="Q542" i="7"/>
  <c r="Q543" i="7"/>
  <c r="Q544" i="7"/>
  <c r="Q545" i="7"/>
  <c r="Q546" i="7"/>
  <c r="Q547" i="7"/>
  <c r="Q548" i="7"/>
  <c r="Q549" i="7"/>
  <c r="Q550" i="7"/>
  <c r="Q551" i="7"/>
  <c r="Q552" i="7"/>
  <c r="Q553" i="7"/>
  <c r="Q554" i="7"/>
  <c r="Q555" i="7"/>
  <c r="Q556" i="7"/>
  <c r="Q557" i="7"/>
  <c r="Q558" i="7"/>
  <c r="Q559" i="7"/>
  <c r="Q560" i="7"/>
  <c r="Q561" i="7"/>
  <c r="Q562" i="7"/>
  <c r="Q563" i="7"/>
  <c r="Q565" i="7"/>
  <c r="Q564" i="7"/>
  <c r="Q566" i="7"/>
  <c r="Q567" i="7"/>
  <c r="Q568" i="7"/>
  <c r="Q569" i="7"/>
  <c r="Q570" i="7"/>
  <c r="Q571" i="7"/>
  <c r="Q572" i="7"/>
  <c r="Q573" i="7"/>
  <c r="Q574" i="7"/>
  <c r="Q575" i="7"/>
  <c r="Q576" i="7"/>
  <c r="Q577" i="7"/>
  <c r="Q578" i="7"/>
  <c r="Q579" i="7"/>
  <c r="Q580" i="7"/>
  <c r="Q581" i="7"/>
  <c r="Q582" i="7"/>
  <c r="Q583" i="7"/>
  <c r="Q584" i="7"/>
  <c r="Q585" i="7"/>
  <c r="Q586" i="7"/>
  <c r="Q587" i="7"/>
  <c r="Q588" i="7"/>
  <c r="Q589" i="7"/>
  <c r="Q590" i="7"/>
  <c r="Q591" i="7"/>
  <c r="Q592" i="7"/>
  <c r="Q593" i="7"/>
  <c r="Q594" i="7"/>
  <c r="Q595" i="7"/>
  <c r="Q596" i="7"/>
  <c r="Q597" i="7"/>
  <c r="Q598" i="7"/>
  <c r="Q599" i="7"/>
  <c r="Q601" i="7"/>
  <c r="Q600" i="7"/>
  <c r="Q603" i="7"/>
  <c r="Q602" i="7"/>
  <c r="Q605" i="7"/>
  <c r="Q604" i="7"/>
  <c r="Q606" i="7"/>
  <c r="Q607" i="7"/>
  <c r="Q608" i="7"/>
  <c r="Q609" i="7"/>
  <c r="Q610" i="7"/>
  <c r="Q611" i="7"/>
  <c r="Q612" i="7"/>
  <c r="Q613" i="7"/>
  <c r="Q614" i="7"/>
  <c r="Q615" i="7"/>
  <c r="Q616" i="7"/>
  <c r="Q617" i="7"/>
  <c r="Q618" i="7"/>
  <c r="Q619" i="7"/>
  <c r="Q620" i="7"/>
  <c r="Q621" i="7"/>
  <c r="Q622" i="7"/>
  <c r="Q623" i="7"/>
  <c r="Q624" i="7"/>
  <c r="Q625" i="7"/>
  <c r="Q626" i="7"/>
  <c r="Q628" i="7"/>
  <c r="Q627" i="7"/>
  <c r="Q630" i="7"/>
  <c r="Q629" i="7"/>
  <c r="Q631" i="7"/>
  <c r="Q632" i="7"/>
  <c r="Q633" i="7"/>
  <c r="O24" i="7"/>
  <c r="O26" i="7"/>
  <c r="O29" i="7"/>
  <c r="O32" i="7"/>
  <c r="O33" i="7"/>
  <c r="O35" i="7"/>
  <c r="O37" i="7"/>
  <c r="O38" i="7"/>
  <c r="O39" i="7"/>
  <c r="O43" i="7"/>
  <c r="O45" i="7"/>
  <c r="O53" i="7"/>
  <c r="O56" i="7"/>
  <c r="O59" i="7"/>
  <c r="O62" i="7"/>
  <c r="O63" i="7"/>
  <c r="O64" i="7"/>
  <c r="O67" i="7"/>
  <c r="O68" i="7"/>
  <c r="O71" i="7"/>
  <c r="O74" i="7"/>
  <c r="O75" i="7"/>
  <c r="O77" i="7"/>
  <c r="O78" i="7"/>
  <c r="O83" i="7"/>
  <c r="O84" i="7"/>
  <c r="O86" i="7"/>
  <c r="O87" i="7"/>
  <c r="O90" i="7"/>
  <c r="O91" i="7"/>
  <c r="O92" i="7"/>
  <c r="O93" i="7"/>
  <c r="O95" i="7"/>
  <c r="O97" i="7"/>
  <c r="O100" i="7"/>
  <c r="O109" i="7"/>
  <c r="O110" i="7"/>
  <c r="O112" i="7"/>
  <c r="O113" i="7"/>
  <c r="O119" i="7"/>
  <c r="O121" i="7"/>
  <c r="O123" i="7"/>
  <c r="O125" i="7"/>
  <c r="O126" i="7"/>
  <c r="O129" i="7"/>
  <c r="O130" i="7"/>
  <c r="O131" i="7"/>
  <c r="O132" i="7"/>
  <c r="O134" i="7"/>
  <c r="O135" i="7"/>
  <c r="O138" i="7"/>
  <c r="O139" i="7"/>
  <c r="O140" i="7"/>
  <c r="O142" i="7"/>
  <c r="O150" i="7"/>
  <c r="O152" i="7"/>
  <c r="O154" i="7"/>
  <c r="O156" i="7"/>
  <c r="O158" i="7"/>
  <c r="O161" i="7"/>
  <c r="O162" i="7"/>
  <c r="O163" i="7"/>
  <c r="O164" i="7"/>
  <c r="O166" i="7"/>
  <c r="O168" i="7"/>
  <c r="O169" i="7"/>
  <c r="O170" i="7"/>
  <c r="O172" i="7"/>
  <c r="O175" i="7"/>
  <c r="O176" i="7"/>
  <c r="O178" i="7"/>
  <c r="O180" i="7"/>
  <c r="O181" i="7"/>
  <c r="O182" i="7"/>
  <c r="O183" i="7"/>
  <c r="O184" i="7"/>
  <c r="O186" i="7"/>
  <c r="O187" i="7"/>
  <c r="O189" i="7"/>
  <c r="O192" i="7"/>
  <c r="O194" i="7"/>
  <c r="O200" i="7"/>
  <c r="O201" i="7"/>
  <c r="O202" i="7"/>
  <c r="O204" i="7"/>
  <c r="O205" i="7"/>
  <c r="O206" i="7"/>
  <c r="O207" i="7"/>
  <c r="O209" i="7"/>
  <c r="O212" i="7"/>
  <c r="O213" i="7"/>
  <c r="O214" i="7"/>
  <c r="O216" i="7"/>
  <c r="O217" i="7"/>
  <c r="O218" i="7"/>
  <c r="O222" i="7"/>
  <c r="O223" i="7"/>
  <c r="O229" i="7"/>
  <c r="O234" i="7"/>
  <c r="O238" i="7"/>
  <c r="O239" i="7"/>
  <c r="O247" i="7"/>
  <c r="O250" i="7"/>
  <c r="O251" i="7"/>
  <c r="O252" i="7"/>
  <c r="O262" i="7"/>
  <c r="O264" i="7"/>
  <c r="O270" i="7"/>
  <c r="O272" i="7"/>
  <c r="O274" i="7"/>
  <c r="O275" i="7"/>
  <c r="O277" i="7"/>
  <c r="O279" i="7"/>
  <c r="O280" i="7"/>
  <c r="O281" i="7"/>
  <c r="O283" i="7"/>
  <c r="O285" i="7"/>
  <c r="O288" i="7"/>
  <c r="O290" i="7"/>
  <c r="O292" i="7"/>
  <c r="O293" i="7"/>
  <c r="O302" i="7"/>
  <c r="O304" i="7"/>
  <c r="O305" i="7"/>
  <c r="O310" i="7"/>
  <c r="O311" i="7"/>
  <c r="O312" i="7"/>
  <c r="O314" i="7"/>
  <c r="O315" i="7"/>
  <c r="O317" i="7"/>
  <c r="O319" i="7"/>
  <c r="O321" i="7"/>
  <c r="O322" i="7"/>
  <c r="O323" i="7"/>
  <c r="O325" i="7"/>
  <c r="O327" i="7"/>
  <c r="O328" i="7"/>
  <c r="O329" i="7"/>
  <c r="O333" i="7"/>
  <c r="O335" i="7"/>
  <c r="O338" i="7"/>
  <c r="O339" i="7"/>
  <c r="O340" i="7"/>
  <c r="O341" i="7"/>
  <c r="O342" i="7"/>
  <c r="O343" i="7"/>
  <c r="O344" i="7"/>
  <c r="O346" i="7"/>
  <c r="O349" i="7"/>
  <c r="O350" i="7"/>
  <c r="O351" i="7"/>
  <c r="O353" i="7"/>
  <c r="O361" i="7"/>
  <c r="O363" i="7"/>
  <c r="O364" i="7"/>
  <c r="O365" i="7"/>
  <c r="O366" i="7"/>
  <c r="O368" i="7"/>
  <c r="O371" i="7"/>
  <c r="O372" i="7"/>
  <c r="O376" i="7"/>
  <c r="O379" i="7"/>
  <c r="O381" i="7"/>
  <c r="O383" i="7"/>
  <c r="O389" i="7"/>
  <c r="O391" i="7"/>
  <c r="O392" i="7"/>
  <c r="O394" i="7"/>
  <c r="O396" i="7"/>
  <c r="O398" i="7"/>
  <c r="O399" i="7"/>
  <c r="O403" i="7"/>
  <c r="O404" i="7"/>
  <c r="O406" i="7"/>
  <c r="O408" i="7"/>
  <c r="O410" i="7"/>
  <c r="O412" i="7"/>
  <c r="O414" i="7"/>
  <c r="O416" i="7"/>
  <c r="O419" i="7"/>
  <c r="O420" i="7"/>
  <c r="O422" i="7"/>
  <c r="O423" i="7"/>
  <c r="O424" i="7"/>
  <c r="O426" i="7"/>
  <c r="O427" i="7"/>
  <c r="O428" i="7"/>
  <c r="O431" i="7"/>
  <c r="O432" i="7"/>
  <c r="O434" i="7"/>
  <c r="O442" i="7"/>
  <c r="O443" i="7"/>
  <c r="O444" i="7"/>
  <c r="O445" i="7"/>
  <c r="O447" i="7"/>
  <c r="O453" i="7"/>
  <c r="O454" i="7"/>
  <c r="O455" i="7"/>
  <c r="O456" i="7"/>
  <c r="O458" i="7"/>
  <c r="O460" i="7"/>
  <c r="O461" i="7"/>
  <c r="O463" i="7"/>
  <c r="O464" i="7"/>
  <c r="O466" i="7"/>
  <c r="O467" i="7"/>
  <c r="O469" i="7"/>
  <c r="O472" i="7"/>
  <c r="O473" i="7"/>
  <c r="O474" i="7"/>
  <c r="O476" i="7"/>
  <c r="O477" i="7"/>
  <c r="O480" i="7"/>
  <c r="O481" i="7"/>
  <c r="O482" i="7"/>
  <c r="O484" i="7"/>
  <c r="O485" i="7"/>
  <c r="O487" i="7"/>
  <c r="O488" i="7"/>
  <c r="O490" i="7"/>
  <c r="O491" i="7"/>
  <c r="O492" i="7"/>
  <c r="O493" i="7"/>
  <c r="O496" i="7"/>
  <c r="O498" i="7"/>
  <c r="O499" i="7"/>
  <c r="O501" i="7"/>
  <c r="O503" i="7"/>
  <c r="O504" i="7"/>
  <c r="O505" i="7"/>
  <c r="O511" i="7"/>
  <c r="O514" i="7"/>
  <c r="O516" i="7"/>
  <c r="O518" i="7"/>
  <c r="L519" i="7"/>
  <c r="L14" i="7"/>
  <c r="M14" i="7" s="1"/>
  <c r="L19" i="7"/>
  <c r="P19" i="7" s="1"/>
  <c r="L24" i="7"/>
  <c r="P24" i="7" s="1"/>
  <c r="L26" i="7"/>
  <c r="M26" i="7" s="1"/>
  <c r="L29" i="7"/>
  <c r="L32" i="7"/>
  <c r="M32" i="7" s="1"/>
  <c r="L33" i="7"/>
  <c r="M33" i="7" s="1"/>
  <c r="L35" i="7"/>
  <c r="M35" i="7" s="1"/>
  <c r="L37" i="7"/>
  <c r="M37" i="7" s="1"/>
  <c r="L38" i="7"/>
  <c r="M38" i="7" s="1"/>
  <c r="L39" i="7"/>
  <c r="M39" i="7" s="1"/>
  <c r="L43" i="7"/>
  <c r="M43" i="7" s="1"/>
  <c r="L45" i="7"/>
  <c r="P45" i="7" s="1"/>
  <c r="L53" i="7"/>
  <c r="M53" i="7" s="1"/>
  <c r="L56" i="7"/>
  <c r="M56" i="7" s="1"/>
  <c r="L59" i="7"/>
  <c r="M59" i="7" s="1"/>
  <c r="L62" i="7"/>
  <c r="P62" i="7" s="1"/>
  <c r="L63" i="7"/>
  <c r="M63" i="7" s="1"/>
  <c r="L64" i="7"/>
  <c r="L67" i="7"/>
  <c r="M67" i="7" s="1"/>
  <c r="L68" i="7"/>
  <c r="M68" i="7" s="1"/>
  <c r="L71" i="7"/>
  <c r="P71" i="7" s="1"/>
  <c r="L74" i="7"/>
  <c r="M74" i="7" s="1"/>
  <c r="L75" i="7"/>
  <c r="M75" i="7" s="1"/>
  <c r="L77" i="7"/>
  <c r="M77" i="7" s="1"/>
  <c r="L78" i="7"/>
  <c r="P78" i="7" s="1"/>
  <c r="L83" i="7"/>
  <c r="M83" i="7" s="1"/>
  <c r="L84" i="7"/>
  <c r="P84" i="7" s="1"/>
  <c r="L86" i="7"/>
  <c r="P86" i="7" s="1"/>
  <c r="L87" i="7"/>
  <c r="P87" i="7" s="1"/>
  <c r="L90" i="7"/>
  <c r="M90" i="7" s="1"/>
  <c r="L91" i="7"/>
  <c r="M91" i="7" s="1"/>
  <c r="L92" i="7"/>
  <c r="M92" i="7" s="1"/>
  <c r="L93" i="7"/>
  <c r="M93" i="7" s="1"/>
  <c r="L95" i="7"/>
  <c r="M95" i="7" s="1"/>
  <c r="L97" i="7"/>
  <c r="P97" i="7" s="1"/>
  <c r="L100" i="7"/>
  <c r="P100" i="7" s="1"/>
  <c r="L109" i="7"/>
  <c r="L110" i="7"/>
  <c r="L112" i="7"/>
  <c r="L113" i="7"/>
  <c r="L119" i="7"/>
  <c r="M119" i="7" s="1"/>
  <c r="L121" i="7"/>
  <c r="M121" i="7" s="1"/>
  <c r="L123" i="7"/>
  <c r="M123" i="7" s="1"/>
  <c r="L125" i="7"/>
  <c r="M125" i="7" s="1"/>
  <c r="L126" i="7"/>
  <c r="M126" i="7" s="1"/>
  <c r="L129" i="7"/>
  <c r="M129" i="7" s="1"/>
  <c r="L130" i="7"/>
  <c r="L131" i="7"/>
  <c r="P131" i="7" s="1"/>
  <c r="L132" i="7"/>
  <c r="P132" i="7" s="1"/>
  <c r="L134" i="7"/>
  <c r="L135" i="7"/>
  <c r="M135" i="7" s="1"/>
  <c r="L138" i="7"/>
  <c r="M138" i="7" s="1"/>
  <c r="L139" i="7"/>
  <c r="P139" i="7" s="1"/>
  <c r="L140" i="7"/>
  <c r="P140" i="7" s="1"/>
  <c r="L142" i="7"/>
  <c r="M142" i="7" s="1"/>
  <c r="L150" i="7"/>
  <c r="P150" i="7" s="1"/>
  <c r="L152" i="7"/>
  <c r="M152" i="7" s="1"/>
  <c r="L154" i="7"/>
  <c r="P154" i="7" s="1"/>
  <c r="L156" i="7"/>
  <c r="L158" i="7"/>
  <c r="M158" i="7" s="1"/>
  <c r="L161" i="7"/>
  <c r="M161" i="7" s="1"/>
  <c r="L162" i="7"/>
  <c r="M162" i="7" s="1"/>
  <c r="L163" i="7"/>
  <c r="P163" i="7" s="1"/>
  <c r="L164" i="7"/>
  <c r="M164" i="7" s="1"/>
  <c r="L166" i="7"/>
  <c r="P166" i="7" s="1"/>
  <c r="L168" i="7"/>
  <c r="L169" i="7"/>
  <c r="M169" i="7" s="1"/>
  <c r="L170" i="7"/>
  <c r="M170" i="7" s="1"/>
  <c r="L172" i="7"/>
  <c r="M172" i="7" s="1"/>
  <c r="L175" i="7"/>
  <c r="P175" i="7" s="1"/>
  <c r="L176" i="7"/>
  <c r="M176" i="7" s="1"/>
  <c r="L178" i="7"/>
  <c r="M178" i="7" s="1"/>
  <c r="L180" i="7"/>
  <c r="M180" i="7" s="1"/>
  <c r="L181" i="7"/>
  <c r="P181" i="7" s="1"/>
  <c r="L182" i="7"/>
  <c r="L183" i="7"/>
  <c r="P183" i="7" s="1"/>
  <c r="L184" i="7"/>
  <c r="M184" i="7" s="1"/>
  <c r="L186" i="7"/>
  <c r="P186" i="7" s="1"/>
  <c r="L187" i="7"/>
  <c r="M187" i="7" s="1"/>
  <c r="L189" i="7"/>
  <c r="P189" i="7" s="1"/>
  <c r="L192" i="7"/>
  <c r="P192" i="7" s="1"/>
  <c r="L194" i="7"/>
  <c r="P194" i="7" s="1"/>
  <c r="L200" i="7"/>
  <c r="L201" i="7"/>
  <c r="L202" i="7"/>
  <c r="L204" i="7"/>
  <c r="P204" i="7" s="1"/>
  <c r="L205" i="7"/>
  <c r="P205" i="7" s="1"/>
  <c r="L206" i="7"/>
  <c r="P206" i="7" s="1"/>
  <c r="L207" i="7"/>
  <c r="L209" i="7"/>
  <c r="L212" i="7"/>
  <c r="L213" i="7"/>
  <c r="P213" i="7" s="1"/>
  <c r="L214" i="7"/>
  <c r="L216" i="7"/>
  <c r="L217" i="7"/>
  <c r="P217" i="7" s="1"/>
  <c r="L218" i="7"/>
  <c r="L222" i="7"/>
  <c r="P222" i="7" s="1"/>
  <c r="L223" i="7"/>
  <c r="P223" i="7" s="1"/>
  <c r="L229" i="7"/>
  <c r="P229" i="7" s="1"/>
  <c r="L234" i="7"/>
  <c r="L238" i="7"/>
  <c r="L239" i="7"/>
  <c r="P239" i="7" s="1"/>
  <c r="L247" i="7"/>
  <c r="L250" i="7"/>
  <c r="P250" i="7" s="1"/>
  <c r="L251" i="7"/>
  <c r="P251" i="7" s="1"/>
  <c r="L252" i="7"/>
  <c r="P252" i="7" s="1"/>
  <c r="L262" i="7"/>
  <c r="L264" i="7"/>
  <c r="L270" i="7"/>
  <c r="L272" i="7"/>
  <c r="P272" i="7" s="1"/>
  <c r="L274" i="7"/>
  <c r="L275" i="7"/>
  <c r="P275" i="7" s="1"/>
  <c r="L277" i="7"/>
  <c r="L279" i="7"/>
  <c r="L280" i="7"/>
  <c r="L281" i="7"/>
  <c r="P281" i="7" s="1"/>
  <c r="L283" i="7"/>
  <c r="P283" i="7" s="1"/>
  <c r="L285" i="7"/>
  <c r="L288" i="7"/>
  <c r="L290" i="7"/>
  <c r="L292" i="7"/>
  <c r="L293" i="7"/>
  <c r="P293" i="7" s="1"/>
  <c r="L302" i="7"/>
  <c r="L304" i="7"/>
  <c r="P304" i="7" s="1"/>
  <c r="L305" i="7"/>
  <c r="L310" i="7"/>
  <c r="L311" i="7"/>
  <c r="L312" i="7"/>
  <c r="P312" i="7" s="1"/>
  <c r="L314" i="7"/>
  <c r="L315" i="7"/>
  <c r="P315" i="7" s="1"/>
  <c r="L317" i="7"/>
  <c r="P317" i="7" s="1"/>
  <c r="L319" i="7"/>
  <c r="P319" i="7" s="1"/>
  <c r="L321" i="7"/>
  <c r="P321" i="7" s="1"/>
  <c r="L322" i="7"/>
  <c r="P322" i="7" s="1"/>
  <c r="L323" i="7"/>
  <c r="L325" i="7"/>
  <c r="L327" i="7"/>
  <c r="L328" i="7"/>
  <c r="P328" i="7" s="1"/>
  <c r="L329" i="7"/>
  <c r="P329" i="7" s="1"/>
  <c r="L333" i="7"/>
  <c r="L335" i="7"/>
  <c r="L338" i="7"/>
  <c r="L339" i="7"/>
  <c r="P339" i="7" s="1"/>
  <c r="L340" i="7"/>
  <c r="P340" i="7" s="1"/>
  <c r="L341" i="7"/>
  <c r="P341" i="7" s="1"/>
  <c r="L342" i="7"/>
  <c r="L343" i="7"/>
  <c r="P343" i="7" s="1"/>
  <c r="L344" i="7"/>
  <c r="P344" i="7" s="1"/>
  <c r="L346" i="7"/>
  <c r="L349" i="7"/>
  <c r="P349" i="7" s="1"/>
  <c r="L350" i="7"/>
  <c r="P350" i="7" s="1"/>
  <c r="L351" i="7"/>
  <c r="L353" i="7"/>
  <c r="L361" i="7"/>
  <c r="P361" i="7" s="1"/>
  <c r="L363" i="7"/>
  <c r="P363" i="7" s="1"/>
  <c r="L364" i="7"/>
  <c r="P364" i="7" s="1"/>
  <c r="L365" i="7"/>
  <c r="P365" i="7" s="1"/>
  <c r="L366" i="7"/>
  <c r="P366" i="7" s="1"/>
  <c r="L368" i="7"/>
  <c r="P368" i="7" s="1"/>
  <c r="L371" i="7"/>
  <c r="L372" i="7"/>
  <c r="L376" i="7"/>
  <c r="P376" i="7" s="1"/>
  <c r="L379" i="7"/>
  <c r="L381" i="7"/>
  <c r="P381" i="7" s="1"/>
  <c r="L383" i="7"/>
  <c r="L389" i="7"/>
  <c r="P389" i="7" s="1"/>
  <c r="L391" i="7"/>
  <c r="L392" i="7"/>
  <c r="L394" i="7"/>
  <c r="P394" i="7" s="1"/>
  <c r="L396" i="7"/>
  <c r="P396" i="7" s="1"/>
  <c r="L398" i="7"/>
  <c r="P398" i="7" s="1"/>
  <c r="L399" i="7"/>
  <c r="P399" i="7" s="1"/>
  <c r="L403" i="7"/>
  <c r="L404" i="7"/>
  <c r="L406" i="7"/>
  <c r="P406" i="7" s="1"/>
  <c r="L408" i="7"/>
  <c r="L410" i="7"/>
  <c r="P410" i="7" s="1"/>
  <c r="L412" i="7"/>
  <c r="P412" i="7" s="1"/>
  <c r="L414" i="7"/>
  <c r="L416" i="7"/>
  <c r="P416" i="7" s="1"/>
  <c r="L419" i="7"/>
  <c r="L420" i="7"/>
  <c r="L422" i="7"/>
  <c r="L423" i="7"/>
  <c r="L424" i="7"/>
  <c r="P424" i="7" s="1"/>
  <c r="L426" i="7"/>
  <c r="P426" i="7" s="1"/>
  <c r="L427" i="7"/>
  <c r="L428" i="7"/>
  <c r="L431" i="7"/>
  <c r="L432" i="7"/>
  <c r="L434" i="7"/>
  <c r="P434" i="7" s="1"/>
  <c r="L442" i="7"/>
  <c r="L443" i="7"/>
  <c r="L444" i="7"/>
  <c r="L445" i="7"/>
  <c r="L447" i="7"/>
  <c r="P447" i="7" s="1"/>
  <c r="L453" i="7"/>
  <c r="P453" i="7" s="1"/>
  <c r="L454" i="7"/>
  <c r="P454" i="7" s="1"/>
  <c r="L455" i="7"/>
  <c r="L456" i="7"/>
  <c r="L458" i="7"/>
  <c r="P458" i="7" s="1"/>
  <c r="L460" i="7"/>
  <c r="P460" i="7" s="1"/>
  <c r="L461" i="7"/>
  <c r="P461" i="7" s="1"/>
  <c r="L463" i="7"/>
  <c r="P463" i="7" s="1"/>
  <c r="L464" i="7"/>
  <c r="L466" i="7"/>
  <c r="L467" i="7"/>
  <c r="L469" i="7"/>
  <c r="L472" i="7"/>
  <c r="L473" i="7"/>
  <c r="L474" i="7"/>
  <c r="L476" i="7"/>
  <c r="L477" i="7"/>
  <c r="L480" i="7"/>
  <c r="L481" i="7"/>
  <c r="P481" i="7" s="1"/>
  <c r="L482" i="7"/>
  <c r="P482" i="7" s="1"/>
  <c r="L484" i="7"/>
  <c r="L485" i="7"/>
  <c r="L487" i="7"/>
  <c r="L488" i="7"/>
  <c r="L490" i="7"/>
  <c r="L491" i="7"/>
  <c r="P491" i="7" s="1"/>
  <c r="L492" i="7"/>
  <c r="L493" i="7"/>
  <c r="P493" i="7" s="1"/>
  <c r="L496" i="7"/>
  <c r="P496" i="7" s="1"/>
  <c r="L498" i="7"/>
  <c r="P498" i="7" s="1"/>
  <c r="L499" i="7"/>
  <c r="P499" i="7" s="1"/>
  <c r="L501" i="7"/>
  <c r="L503" i="7"/>
  <c r="L504" i="7"/>
  <c r="L505" i="7"/>
  <c r="L511" i="7"/>
  <c r="P511" i="7" s="1"/>
  <c r="L514" i="7"/>
  <c r="L516" i="7"/>
  <c r="L518" i="7"/>
  <c r="V38" i="7"/>
  <c r="V39" i="7"/>
  <c r="V43" i="7"/>
  <c r="V45" i="7"/>
  <c r="V53" i="7"/>
  <c r="V56" i="7"/>
  <c r="V59" i="7"/>
  <c r="V62" i="7"/>
  <c r="V63" i="7"/>
  <c r="V64" i="7"/>
  <c r="V67" i="7"/>
  <c r="V68" i="7"/>
  <c r="V71" i="7"/>
  <c r="V74" i="7"/>
  <c r="V75" i="7"/>
  <c r="V77" i="7"/>
  <c r="V78" i="7"/>
  <c r="V83" i="7"/>
  <c r="V84" i="7"/>
  <c r="V86" i="7"/>
  <c r="V87" i="7"/>
  <c r="V90" i="7"/>
  <c r="V91" i="7"/>
  <c r="V92" i="7"/>
  <c r="V93" i="7"/>
  <c r="V95" i="7"/>
  <c r="V97" i="7"/>
  <c r="V100" i="7"/>
  <c r="V109" i="7"/>
  <c r="V110" i="7"/>
  <c r="V112" i="7"/>
  <c r="V113" i="7"/>
  <c r="V119" i="7"/>
  <c r="V121" i="7"/>
  <c r="V123" i="7"/>
  <c r="V125" i="7"/>
  <c r="V126" i="7"/>
  <c r="V129" i="7"/>
  <c r="V130" i="7"/>
  <c r="V131" i="7"/>
  <c r="V132" i="7"/>
  <c r="V134" i="7"/>
  <c r="V135" i="7"/>
  <c r="V138" i="7"/>
  <c r="V139" i="7"/>
  <c r="V140" i="7"/>
  <c r="V142" i="7"/>
  <c r="V150" i="7"/>
  <c r="V152" i="7"/>
  <c r="V154" i="7"/>
  <c r="V156" i="7"/>
  <c r="V158" i="7"/>
  <c r="V161" i="7"/>
  <c r="V162" i="7"/>
  <c r="V163" i="7"/>
  <c r="V164" i="7"/>
  <c r="V166" i="7"/>
  <c r="V168" i="7"/>
  <c r="V169" i="7"/>
  <c r="V170" i="7"/>
  <c r="V172" i="7"/>
  <c r="V175" i="7"/>
  <c r="V176" i="7"/>
  <c r="V178" i="7"/>
  <c r="V180" i="7"/>
  <c r="V181" i="7"/>
  <c r="V182" i="7"/>
  <c r="V183" i="7"/>
  <c r="V184" i="7"/>
  <c r="V186" i="7"/>
  <c r="V187" i="7"/>
  <c r="V189" i="7"/>
  <c r="V192" i="7"/>
  <c r="V194" i="7"/>
  <c r="V200" i="7"/>
  <c r="V201" i="7"/>
  <c r="V202" i="7"/>
  <c r="V204" i="7"/>
  <c r="V205" i="7"/>
  <c r="V206" i="7"/>
  <c r="V207" i="7"/>
  <c r="V209" i="7"/>
  <c r="V212" i="7"/>
  <c r="V213" i="7"/>
  <c r="V214" i="7"/>
  <c r="V216" i="7"/>
  <c r="V217" i="7"/>
  <c r="V218" i="7"/>
  <c r="V222" i="7"/>
  <c r="V223" i="7"/>
  <c r="V229" i="7"/>
  <c r="V234" i="7"/>
  <c r="V238" i="7"/>
  <c r="V239" i="7"/>
  <c r="V247" i="7"/>
  <c r="V250" i="7"/>
  <c r="V251" i="7"/>
  <c r="V252" i="7"/>
  <c r="V262" i="7"/>
  <c r="V264" i="7"/>
  <c r="V270" i="7"/>
  <c r="V272" i="7"/>
  <c r="V274" i="7"/>
  <c r="V275" i="7"/>
  <c r="V277" i="7"/>
  <c r="V279" i="7"/>
  <c r="V280" i="7"/>
  <c r="V281" i="7"/>
  <c r="V283" i="7"/>
  <c r="V285" i="7"/>
  <c r="V288" i="7"/>
  <c r="V290" i="7"/>
  <c r="V292" i="7"/>
  <c r="V293" i="7"/>
  <c r="V302" i="7"/>
  <c r="V304" i="7"/>
  <c r="V305" i="7"/>
  <c r="V310" i="7"/>
  <c r="V311" i="7"/>
  <c r="V312" i="7"/>
  <c r="V314" i="7"/>
  <c r="V315" i="7"/>
  <c r="V317" i="7"/>
  <c r="V319" i="7"/>
  <c r="V321" i="7"/>
  <c r="V322" i="7"/>
  <c r="V323" i="7"/>
  <c r="V325" i="7"/>
  <c r="V327" i="7"/>
  <c r="V328" i="7"/>
  <c r="V329" i="7"/>
  <c r="V333" i="7"/>
  <c r="V335" i="7"/>
  <c r="V338" i="7"/>
  <c r="V339" i="7"/>
  <c r="V340" i="7"/>
  <c r="V341" i="7"/>
  <c r="V342" i="7"/>
  <c r="V343" i="7"/>
  <c r="V344" i="7"/>
  <c r="V346" i="7"/>
  <c r="V349" i="7"/>
  <c r="V350" i="7"/>
  <c r="V351" i="7"/>
  <c r="V353" i="7"/>
  <c r="V361" i="7"/>
  <c r="V363" i="7"/>
  <c r="V364" i="7"/>
  <c r="V365" i="7"/>
  <c r="V366" i="7"/>
  <c r="V368" i="7"/>
  <c r="V371" i="7"/>
  <c r="V372" i="7"/>
  <c r="V376" i="7"/>
  <c r="V379" i="7"/>
  <c r="V381" i="7"/>
  <c r="V383" i="7"/>
  <c r="V389" i="7"/>
  <c r="V391" i="7"/>
  <c r="V392" i="7"/>
  <c r="V394" i="7"/>
  <c r="V396" i="7"/>
  <c r="V398" i="7"/>
  <c r="V399" i="7"/>
  <c r="V403" i="7"/>
  <c r="V404" i="7"/>
  <c r="V406" i="7"/>
  <c r="V408" i="7"/>
  <c r="V410" i="7"/>
  <c r="V412" i="7"/>
  <c r="V414" i="7"/>
  <c r="V416" i="7"/>
  <c r="V419" i="7"/>
  <c r="V420" i="7"/>
  <c r="V422" i="7"/>
  <c r="V423" i="7"/>
  <c r="V424" i="7"/>
  <c r="V426" i="7"/>
  <c r="V427" i="7"/>
  <c r="V428" i="7"/>
  <c r="V431" i="7"/>
  <c r="V432" i="7"/>
  <c r="V434" i="7"/>
  <c r="V442" i="7"/>
  <c r="V443" i="7"/>
  <c r="V444" i="7"/>
  <c r="V445" i="7"/>
  <c r="V447" i="7"/>
  <c r="V453" i="7"/>
  <c r="V454" i="7"/>
  <c r="V455" i="7"/>
  <c r="V456" i="7"/>
  <c r="V458" i="7"/>
  <c r="V460" i="7"/>
  <c r="V461" i="7"/>
  <c r="V463" i="7"/>
  <c r="V464" i="7"/>
  <c r="V466" i="7"/>
  <c r="V467" i="7"/>
  <c r="V469" i="7"/>
  <c r="V472" i="7"/>
  <c r="V473" i="7"/>
  <c r="V474" i="7"/>
  <c r="V476" i="7"/>
  <c r="V477" i="7"/>
  <c r="V480" i="7"/>
  <c r="V481" i="7"/>
  <c r="V482" i="7"/>
  <c r="V484" i="7"/>
  <c r="V485" i="7"/>
  <c r="V487" i="7"/>
  <c r="V488" i="7"/>
  <c r="V490" i="7"/>
  <c r="V491" i="7"/>
  <c r="V492" i="7"/>
  <c r="V493" i="7"/>
  <c r="V496" i="7"/>
  <c r="V498" i="7"/>
  <c r="V499" i="7"/>
  <c r="V501" i="7"/>
  <c r="V503" i="7"/>
  <c r="V504" i="7"/>
  <c r="V505" i="7"/>
  <c r="V511" i="7"/>
  <c r="V514" i="7"/>
  <c r="V516" i="7"/>
  <c r="V518" i="7"/>
  <c r="W38" i="7"/>
  <c r="W39" i="7"/>
  <c r="W43" i="7"/>
  <c r="W45" i="7"/>
  <c r="W53" i="7"/>
  <c r="W56" i="7"/>
  <c r="W59" i="7"/>
  <c r="W62" i="7"/>
  <c r="W63" i="7"/>
  <c r="W64" i="7"/>
  <c r="W67" i="7"/>
  <c r="W68" i="7"/>
  <c r="W71" i="7"/>
  <c r="W74" i="7"/>
  <c r="W75" i="7"/>
  <c r="W77" i="7"/>
  <c r="W78" i="7"/>
  <c r="W83" i="7"/>
  <c r="W84" i="7"/>
  <c r="W86" i="7"/>
  <c r="W87" i="7"/>
  <c r="W90" i="7"/>
  <c r="W91" i="7"/>
  <c r="W92" i="7"/>
  <c r="W93" i="7"/>
  <c r="W95" i="7"/>
  <c r="W97" i="7"/>
  <c r="W100" i="7"/>
  <c r="W109" i="7"/>
  <c r="W110" i="7"/>
  <c r="W112" i="7"/>
  <c r="W113" i="7"/>
  <c r="W119" i="7"/>
  <c r="W121" i="7"/>
  <c r="W123" i="7"/>
  <c r="W125" i="7"/>
  <c r="W126" i="7"/>
  <c r="W129" i="7"/>
  <c r="W130" i="7"/>
  <c r="W131" i="7"/>
  <c r="W132" i="7"/>
  <c r="W134" i="7"/>
  <c r="W135" i="7"/>
  <c r="W138" i="7"/>
  <c r="W139" i="7"/>
  <c r="W140" i="7"/>
  <c r="W142" i="7"/>
  <c r="W150" i="7"/>
  <c r="W152" i="7"/>
  <c r="W154" i="7"/>
  <c r="W156" i="7"/>
  <c r="W158" i="7"/>
  <c r="W161" i="7"/>
  <c r="W162" i="7"/>
  <c r="W163" i="7"/>
  <c r="W164" i="7"/>
  <c r="W166" i="7"/>
  <c r="W168" i="7"/>
  <c r="W169" i="7"/>
  <c r="W170" i="7"/>
  <c r="W172" i="7"/>
  <c r="W175" i="7"/>
  <c r="W176" i="7"/>
  <c r="W178" i="7"/>
  <c r="W180" i="7"/>
  <c r="W181" i="7"/>
  <c r="W182" i="7"/>
  <c r="W183" i="7"/>
  <c r="W184" i="7"/>
  <c r="W186" i="7"/>
  <c r="W187" i="7"/>
  <c r="W189" i="7"/>
  <c r="W192" i="7"/>
  <c r="W194" i="7"/>
  <c r="W200" i="7"/>
  <c r="W201" i="7"/>
  <c r="W202" i="7"/>
  <c r="W204" i="7"/>
  <c r="W205" i="7"/>
  <c r="W206" i="7"/>
  <c r="W207" i="7"/>
  <c r="W209" i="7"/>
  <c r="W212" i="7"/>
  <c r="W213" i="7"/>
  <c r="W214" i="7"/>
  <c r="W216" i="7"/>
  <c r="W217" i="7"/>
  <c r="W218" i="7"/>
  <c r="W222" i="7"/>
  <c r="W223" i="7"/>
  <c r="W229" i="7"/>
  <c r="W234" i="7"/>
  <c r="W238" i="7"/>
  <c r="W239" i="7"/>
  <c r="W247" i="7"/>
  <c r="W250" i="7"/>
  <c r="W251" i="7"/>
  <c r="W252" i="7"/>
  <c r="W262" i="7"/>
  <c r="W264" i="7"/>
  <c r="W270" i="7"/>
  <c r="W272" i="7"/>
  <c r="W274" i="7"/>
  <c r="W275" i="7"/>
  <c r="W277" i="7"/>
  <c r="W279" i="7"/>
  <c r="W280" i="7"/>
  <c r="W281" i="7"/>
  <c r="W283" i="7"/>
  <c r="W285" i="7"/>
  <c r="W288" i="7"/>
  <c r="W290" i="7"/>
  <c r="W292" i="7"/>
  <c r="W293" i="7"/>
  <c r="W302" i="7"/>
  <c r="W304" i="7"/>
  <c r="W305" i="7"/>
  <c r="W310" i="7"/>
  <c r="W311" i="7"/>
  <c r="W312" i="7"/>
  <c r="W314" i="7"/>
  <c r="W315" i="7"/>
  <c r="W317" i="7"/>
  <c r="W319" i="7"/>
  <c r="W321" i="7"/>
  <c r="W322" i="7"/>
  <c r="W323" i="7"/>
  <c r="W325" i="7"/>
  <c r="W327" i="7"/>
  <c r="W328" i="7"/>
  <c r="W329" i="7"/>
  <c r="W333" i="7"/>
  <c r="W335" i="7"/>
  <c r="W338" i="7"/>
  <c r="W339" i="7"/>
  <c r="W340" i="7"/>
  <c r="W341" i="7"/>
  <c r="W342" i="7"/>
  <c r="W343" i="7"/>
  <c r="W344" i="7"/>
  <c r="W346" i="7"/>
  <c r="W349" i="7"/>
  <c r="W350" i="7"/>
  <c r="W351" i="7"/>
  <c r="W353" i="7"/>
  <c r="W361" i="7"/>
  <c r="W363" i="7"/>
  <c r="W364" i="7"/>
  <c r="W365" i="7"/>
  <c r="W366" i="7"/>
  <c r="W368" i="7"/>
  <c r="W371" i="7"/>
  <c r="W372" i="7"/>
  <c r="W376" i="7"/>
  <c r="W379" i="7"/>
  <c r="W381" i="7"/>
  <c r="W383" i="7"/>
  <c r="W389" i="7"/>
  <c r="W391" i="7"/>
  <c r="W392" i="7"/>
  <c r="W394" i="7"/>
  <c r="W396" i="7"/>
  <c r="W398" i="7"/>
  <c r="W399" i="7"/>
  <c r="W403" i="7"/>
  <c r="W404" i="7"/>
  <c r="W406" i="7"/>
  <c r="W408" i="7"/>
  <c r="W410" i="7"/>
  <c r="W412" i="7"/>
  <c r="W414" i="7"/>
  <c r="W416" i="7"/>
  <c r="W419" i="7"/>
  <c r="W420" i="7"/>
  <c r="W422" i="7"/>
  <c r="W423" i="7"/>
  <c r="W424" i="7"/>
  <c r="W426" i="7"/>
  <c r="W427" i="7"/>
  <c r="W428" i="7"/>
  <c r="W431" i="7"/>
  <c r="W432" i="7"/>
  <c r="W434" i="7"/>
  <c r="W442" i="7"/>
  <c r="W443" i="7"/>
  <c r="W444" i="7"/>
  <c r="W445" i="7"/>
  <c r="W447" i="7"/>
  <c r="W453" i="7"/>
  <c r="W454" i="7"/>
  <c r="W455" i="7"/>
  <c r="W456" i="7"/>
  <c r="W458" i="7"/>
  <c r="W460" i="7"/>
  <c r="W461" i="7"/>
  <c r="W463" i="7"/>
  <c r="W464" i="7"/>
  <c r="W466" i="7"/>
  <c r="W467" i="7"/>
  <c r="W469" i="7"/>
  <c r="W472" i="7"/>
  <c r="W473" i="7"/>
  <c r="W474" i="7"/>
  <c r="W476" i="7"/>
  <c r="W477" i="7"/>
  <c r="W480" i="7"/>
  <c r="W481" i="7"/>
  <c r="W482" i="7"/>
  <c r="W484" i="7"/>
  <c r="W485" i="7"/>
  <c r="W487" i="7"/>
  <c r="W488" i="7"/>
  <c r="W490" i="7"/>
  <c r="W491" i="7"/>
  <c r="W492" i="7"/>
  <c r="W493" i="7"/>
  <c r="W496" i="7"/>
  <c r="W498" i="7"/>
  <c r="W499" i="7"/>
  <c r="W501" i="7"/>
  <c r="W503" i="7"/>
  <c r="W504" i="7"/>
  <c r="W505" i="7"/>
  <c r="W511" i="7"/>
  <c r="W514" i="7"/>
  <c r="W516" i="7"/>
  <c r="W518" i="7"/>
  <c r="O7" i="7"/>
  <c r="Q7" i="7"/>
  <c r="V7" i="7"/>
  <c r="W7" i="7"/>
  <c r="O9" i="7"/>
  <c r="Q9" i="7"/>
  <c r="R10" i="7" s="1"/>
  <c r="V9" i="7"/>
  <c r="W9" i="7"/>
  <c r="O8" i="7"/>
  <c r="Q8" i="7"/>
  <c r="V8" i="7"/>
  <c r="W8" i="7"/>
  <c r="O10" i="7"/>
  <c r="V10" i="7"/>
  <c r="W10" i="7"/>
  <c r="O11" i="7"/>
  <c r="V11" i="7"/>
  <c r="W11" i="7"/>
  <c r="O12" i="7"/>
  <c r="V12" i="7"/>
  <c r="W12" i="7"/>
  <c r="O13" i="7"/>
  <c r="V13" i="7"/>
  <c r="W13" i="7"/>
  <c r="O15" i="7"/>
  <c r="V15" i="7"/>
  <c r="W15" i="7"/>
  <c r="O16" i="7"/>
  <c r="V16" i="7"/>
  <c r="W16" i="7"/>
  <c r="O17" i="7"/>
  <c r="V17" i="7"/>
  <c r="W17" i="7"/>
  <c r="O18" i="7"/>
  <c r="V18" i="7"/>
  <c r="W18" i="7"/>
  <c r="O21" i="7"/>
  <c r="V21" i="7"/>
  <c r="W21" i="7"/>
  <c r="O20" i="7"/>
  <c r="V20" i="7"/>
  <c r="W20" i="7"/>
  <c r="O23" i="7"/>
  <c r="V23" i="7"/>
  <c r="W23" i="7"/>
  <c r="O22" i="7"/>
  <c r="V22" i="7"/>
  <c r="W22" i="7"/>
  <c r="O25" i="7"/>
  <c r="V25" i="7"/>
  <c r="W25" i="7"/>
  <c r="O27" i="7"/>
  <c r="V27" i="7"/>
  <c r="W27" i="7"/>
  <c r="O28" i="7"/>
  <c r="V28" i="7"/>
  <c r="W28" i="7"/>
  <c r="O30" i="7"/>
  <c r="V30" i="7"/>
  <c r="W30" i="7"/>
  <c r="O31" i="7"/>
  <c r="V31" i="7"/>
  <c r="W31" i="7"/>
  <c r="O34" i="7"/>
  <c r="V34" i="7"/>
  <c r="W34" i="7"/>
  <c r="O36" i="7"/>
  <c r="V36" i="7"/>
  <c r="W36" i="7"/>
  <c r="O40" i="7"/>
  <c r="V40" i="7"/>
  <c r="W40" i="7"/>
  <c r="O41" i="7"/>
  <c r="V41" i="7"/>
  <c r="W41" i="7"/>
  <c r="O42" i="7"/>
  <c r="V42" i="7"/>
  <c r="W42" i="7"/>
  <c r="O44" i="7"/>
  <c r="V44" i="7"/>
  <c r="W44" i="7"/>
  <c r="O47" i="7"/>
  <c r="V47" i="7"/>
  <c r="W47" i="7"/>
  <c r="O46" i="7"/>
  <c r="V46" i="7"/>
  <c r="W46" i="7"/>
  <c r="O49" i="7"/>
  <c r="V49" i="7"/>
  <c r="W49" i="7"/>
  <c r="O48" i="7"/>
  <c r="V48" i="7"/>
  <c r="W48" i="7"/>
  <c r="O51" i="7"/>
  <c r="V51" i="7"/>
  <c r="W51" i="7"/>
  <c r="O50" i="7"/>
  <c r="V50" i="7"/>
  <c r="W50" i="7"/>
  <c r="O52" i="7"/>
  <c r="V52" i="7"/>
  <c r="W52" i="7"/>
  <c r="O54" i="7"/>
  <c r="V54" i="7"/>
  <c r="W54" i="7"/>
  <c r="O55" i="7"/>
  <c r="V55" i="7"/>
  <c r="W55" i="7"/>
  <c r="O57" i="7"/>
  <c r="V57" i="7"/>
  <c r="W57" i="7"/>
  <c r="O58" i="7"/>
  <c r="V58" i="7"/>
  <c r="W58" i="7"/>
  <c r="O61" i="7"/>
  <c r="V61" i="7"/>
  <c r="W61" i="7"/>
  <c r="O60" i="7"/>
  <c r="V60" i="7"/>
  <c r="W60" i="7"/>
  <c r="O65" i="7"/>
  <c r="V65" i="7"/>
  <c r="W65" i="7"/>
  <c r="O66" i="7"/>
  <c r="V66" i="7"/>
  <c r="W66" i="7"/>
  <c r="O69" i="7"/>
  <c r="V69" i="7"/>
  <c r="W69" i="7"/>
  <c r="O70" i="7"/>
  <c r="V70" i="7"/>
  <c r="W70" i="7"/>
  <c r="O73" i="7"/>
  <c r="V73" i="7"/>
  <c r="W73" i="7"/>
  <c r="O72" i="7"/>
  <c r="V72" i="7"/>
  <c r="W72" i="7"/>
  <c r="O76" i="7"/>
  <c r="V76" i="7"/>
  <c r="W76" i="7"/>
  <c r="O79" i="7"/>
  <c r="V79" i="7"/>
  <c r="W79" i="7"/>
  <c r="O80" i="7"/>
  <c r="V80" i="7"/>
  <c r="W80" i="7"/>
  <c r="O81" i="7"/>
  <c r="V81" i="7"/>
  <c r="W81" i="7"/>
  <c r="O82" i="7"/>
  <c r="V82" i="7"/>
  <c r="W82" i="7"/>
  <c r="O85" i="7"/>
  <c r="V85" i="7"/>
  <c r="W85" i="7"/>
  <c r="O88" i="7"/>
  <c r="V88" i="7"/>
  <c r="W88" i="7"/>
  <c r="O89" i="7"/>
  <c r="V89" i="7"/>
  <c r="W89" i="7"/>
  <c r="O94" i="7"/>
  <c r="V94" i="7"/>
  <c r="W94" i="7"/>
  <c r="O96" i="7"/>
  <c r="V96" i="7"/>
  <c r="W96" i="7"/>
  <c r="O98" i="7"/>
  <c r="V98" i="7"/>
  <c r="W98" i="7"/>
  <c r="O99" i="7"/>
  <c r="V99" i="7"/>
  <c r="W99" i="7"/>
  <c r="O101" i="7"/>
  <c r="V101" i="7"/>
  <c r="W101" i="7"/>
  <c r="O102" i="7"/>
  <c r="V102" i="7"/>
  <c r="W102" i="7"/>
  <c r="O103" i="7"/>
  <c r="V103" i="7"/>
  <c r="W103" i="7"/>
  <c r="O104" i="7"/>
  <c r="V104" i="7"/>
  <c r="W104" i="7"/>
  <c r="O105" i="7"/>
  <c r="V105" i="7"/>
  <c r="W105" i="7"/>
  <c r="O106" i="7"/>
  <c r="V106" i="7"/>
  <c r="W106" i="7"/>
  <c r="O107" i="7"/>
  <c r="V107" i="7"/>
  <c r="W107" i="7"/>
  <c r="O108" i="7"/>
  <c r="V108" i="7"/>
  <c r="W108" i="7"/>
  <c r="O111" i="7"/>
  <c r="V111" i="7"/>
  <c r="W111" i="7"/>
  <c r="O115" i="7"/>
  <c r="V115" i="7"/>
  <c r="W115" i="7"/>
  <c r="O114" i="7"/>
  <c r="V114" i="7"/>
  <c r="W114" i="7"/>
  <c r="O116" i="7"/>
  <c r="V116" i="7"/>
  <c r="W116" i="7"/>
  <c r="O118" i="7"/>
  <c r="V118" i="7"/>
  <c r="W118" i="7"/>
  <c r="O117" i="7"/>
  <c r="V117" i="7"/>
  <c r="W117" i="7"/>
  <c r="O120" i="7"/>
  <c r="V120" i="7"/>
  <c r="W120" i="7"/>
  <c r="O122" i="7"/>
  <c r="V122" i="7"/>
  <c r="W122" i="7"/>
  <c r="O124" i="7"/>
  <c r="V124" i="7"/>
  <c r="W124" i="7"/>
  <c r="O128" i="7"/>
  <c r="V128" i="7"/>
  <c r="W128" i="7"/>
  <c r="O127" i="7"/>
  <c r="V127" i="7"/>
  <c r="W127" i="7"/>
  <c r="O133" i="7"/>
  <c r="V133" i="7"/>
  <c r="W133" i="7"/>
  <c r="O136" i="7"/>
  <c r="V136" i="7"/>
  <c r="W136" i="7"/>
  <c r="O137" i="7"/>
  <c r="V137" i="7"/>
  <c r="W137" i="7"/>
  <c r="O141" i="7"/>
  <c r="V141" i="7"/>
  <c r="W141" i="7"/>
  <c r="O144" i="7"/>
  <c r="V144" i="7"/>
  <c r="W144" i="7"/>
  <c r="O143" i="7"/>
  <c r="V143" i="7"/>
  <c r="W143" i="7"/>
  <c r="O146" i="7"/>
  <c r="V146" i="7"/>
  <c r="W146" i="7"/>
  <c r="O145" i="7"/>
  <c r="V145" i="7"/>
  <c r="W145" i="7"/>
  <c r="O148" i="7"/>
  <c r="V148" i="7"/>
  <c r="W148" i="7"/>
  <c r="O147" i="7"/>
  <c r="V147" i="7"/>
  <c r="W147" i="7"/>
  <c r="O149" i="7"/>
  <c r="V149" i="7"/>
  <c r="W149" i="7"/>
  <c r="O151" i="7"/>
  <c r="V151" i="7"/>
  <c r="W151" i="7"/>
  <c r="O153" i="7"/>
  <c r="V153" i="7"/>
  <c r="W153" i="7"/>
  <c r="O155" i="7"/>
  <c r="V155" i="7"/>
  <c r="W155" i="7"/>
  <c r="O157" i="7"/>
  <c r="V157" i="7"/>
  <c r="W157" i="7"/>
  <c r="O159" i="7"/>
  <c r="V159" i="7"/>
  <c r="W159" i="7"/>
  <c r="O160" i="7"/>
  <c r="V160" i="7"/>
  <c r="W160" i="7"/>
  <c r="O165" i="7"/>
  <c r="V165" i="7"/>
  <c r="W165" i="7"/>
  <c r="O167" i="7"/>
  <c r="V167" i="7"/>
  <c r="W167" i="7"/>
  <c r="O171" i="7"/>
  <c r="V171" i="7"/>
  <c r="W171" i="7"/>
  <c r="O173" i="7"/>
  <c r="V173" i="7"/>
  <c r="W173" i="7"/>
  <c r="O174" i="7"/>
  <c r="V174" i="7"/>
  <c r="W174" i="7"/>
  <c r="O177" i="7"/>
  <c r="V177" i="7"/>
  <c r="W177" i="7"/>
  <c r="O179" i="7"/>
  <c r="V179" i="7"/>
  <c r="W179" i="7"/>
  <c r="O185" i="7"/>
  <c r="V185" i="7"/>
  <c r="W185" i="7"/>
  <c r="O188" i="7"/>
  <c r="V188" i="7"/>
  <c r="W188" i="7"/>
  <c r="O190" i="7"/>
  <c r="V190" i="7"/>
  <c r="W190" i="7"/>
  <c r="O191" i="7"/>
  <c r="V191" i="7"/>
  <c r="W191" i="7"/>
  <c r="O193" i="7"/>
  <c r="V193" i="7"/>
  <c r="W193" i="7"/>
  <c r="O195" i="7"/>
  <c r="V195" i="7"/>
  <c r="W195" i="7"/>
  <c r="O196" i="7"/>
  <c r="V196" i="7"/>
  <c r="W196" i="7"/>
  <c r="O197" i="7"/>
  <c r="V197" i="7"/>
  <c r="W197" i="7"/>
  <c r="O198" i="7"/>
  <c r="V198" i="7"/>
  <c r="W198" i="7"/>
  <c r="O199" i="7"/>
  <c r="V199" i="7"/>
  <c r="W199" i="7"/>
  <c r="O203" i="7"/>
  <c r="V203" i="7"/>
  <c r="W203" i="7"/>
  <c r="O208" i="7"/>
  <c r="V208" i="7"/>
  <c r="W208" i="7"/>
  <c r="O210" i="7"/>
  <c r="V210" i="7"/>
  <c r="W210" i="7"/>
  <c r="O211" i="7"/>
  <c r="V211" i="7"/>
  <c r="W211" i="7"/>
  <c r="O215" i="7"/>
  <c r="V215" i="7"/>
  <c r="W215" i="7"/>
  <c r="O219" i="7"/>
  <c r="V219" i="7"/>
  <c r="W219" i="7"/>
  <c r="O220" i="7"/>
  <c r="V220" i="7"/>
  <c r="W220" i="7"/>
  <c r="O221" i="7"/>
  <c r="V221" i="7"/>
  <c r="W221" i="7"/>
  <c r="O225" i="7"/>
  <c r="V225" i="7"/>
  <c r="W225" i="7"/>
  <c r="O224" i="7"/>
  <c r="V224" i="7"/>
  <c r="W224" i="7"/>
  <c r="O226" i="7"/>
  <c r="V226" i="7"/>
  <c r="W226" i="7"/>
  <c r="O227" i="7"/>
  <c r="V227" i="7"/>
  <c r="W227" i="7"/>
  <c r="O228" i="7"/>
  <c r="V228" i="7"/>
  <c r="W228" i="7"/>
  <c r="O230" i="7"/>
  <c r="V230" i="7"/>
  <c r="W230" i="7"/>
  <c r="O231" i="7"/>
  <c r="V231" i="7"/>
  <c r="W231" i="7"/>
  <c r="O232" i="7"/>
  <c r="V232" i="7"/>
  <c r="W232" i="7"/>
  <c r="O235" i="7"/>
  <c r="V235" i="7"/>
  <c r="W235" i="7"/>
  <c r="O233" i="7"/>
  <c r="V233" i="7"/>
  <c r="W233" i="7"/>
  <c r="O236" i="7"/>
  <c r="V236" i="7"/>
  <c r="W236" i="7"/>
  <c r="O237" i="7"/>
  <c r="V237" i="7"/>
  <c r="W237" i="7"/>
  <c r="O241" i="7"/>
  <c r="V241" i="7"/>
  <c r="W241" i="7"/>
  <c r="O240" i="7"/>
  <c r="V240" i="7"/>
  <c r="W240" i="7"/>
  <c r="O242" i="7"/>
  <c r="V242" i="7"/>
  <c r="W242" i="7"/>
  <c r="O243" i="7"/>
  <c r="V243" i="7"/>
  <c r="W243" i="7"/>
  <c r="O244" i="7"/>
  <c r="V244" i="7"/>
  <c r="W244" i="7"/>
  <c r="O245" i="7"/>
  <c r="V245" i="7"/>
  <c r="W245" i="7"/>
  <c r="O246" i="7"/>
  <c r="V246" i="7"/>
  <c r="W246" i="7"/>
  <c r="O248" i="7"/>
  <c r="V248" i="7"/>
  <c r="W248" i="7"/>
  <c r="O249" i="7"/>
  <c r="V249" i="7"/>
  <c r="W249" i="7"/>
  <c r="O253" i="7"/>
  <c r="V253" i="7"/>
  <c r="W253" i="7"/>
  <c r="O254" i="7"/>
  <c r="V254" i="7"/>
  <c r="W254" i="7"/>
  <c r="O255" i="7"/>
  <c r="V255" i="7"/>
  <c r="W255" i="7"/>
  <c r="O256" i="7"/>
  <c r="V256" i="7"/>
  <c r="W256" i="7"/>
  <c r="O257" i="7"/>
  <c r="V257" i="7"/>
  <c r="W257" i="7"/>
  <c r="O258" i="7"/>
  <c r="V258" i="7"/>
  <c r="W258" i="7"/>
  <c r="O259" i="7"/>
  <c r="V259" i="7"/>
  <c r="W259" i="7"/>
  <c r="O260" i="7"/>
  <c r="V260" i="7"/>
  <c r="W260" i="7"/>
  <c r="O261" i="7"/>
  <c r="V261" i="7"/>
  <c r="W261" i="7"/>
  <c r="O263" i="7"/>
  <c r="V263" i="7"/>
  <c r="W263" i="7"/>
  <c r="O265" i="7"/>
  <c r="V265" i="7"/>
  <c r="W265" i="7"/>
  <c r="O266" i="7"/>
  <c r="V266" i="7"/>
  <c r="W266" i="7"/>
  <c r="O267" i="7"/>
  <c r="V267" i="7"/>
  <c r="W267" i="7"/>
  <c r="O268" i="7"/>
  <c r="V268" i="7"/>
  <c r="W268" i="7"/>
  <c r="O269" i="7"/>
  <c r="V269" i="7"/>
  <c r="W269" i="7"/>
  <c r="O271" i="7"/>
  <c r="V271" i="7"/>
  <c r="W271" i="7"/>
  <c r="O273" i="7"/>
  <c r="V273" i="7"/>
  <c r="W273" i="7"/>
  <c r="O276" i="7"/>
  <c r="V276" i="7"/>
  <c r="W276" i="7"/>
  <c r="O278" i="7"/>
  <c r="V278" i="7"/>
  <c r="W278" i="7"/>
  <c r="O282" i="7"/>
  <c r="V282" i="7"/>
  <c r="W282" i="7"/>
  <c r="O284" i="7"/>
  <c r="V284" i="7"/>
  <c r="W284" i="7"/>
  <c r="O286" i="7"/>
  <c r="V286" i="7"/>
  <c r="W286" i="7"/>
  <c r="O287" i="7"/>
  <c r="V287" i="7"/>
  <c r="W287" i="7"/>
  <c r="O289" i="7"/>
  <c r="V289" i="7"/>
  <c r="W289" i="7"/>
  <c r="O291" i="7"/>
  <c r="V291" i="7"/>
  <c r="W291" i="7"/>
  <c r="O294" i="7"/>
  <c r="V294" i="7"/>
  <c r="W294" i="7"/>
  <c r="O295" i="7"/>
  <c r="V295" i="7"/>
  <c r="W295" i="7"/>
  <c r="O296" i="7"/>
  <c r="V296" i="7"/>
  <c r="W296" i="7"/>
  <c r="O297" i="7"/>
  <c r="V297" i="7"/>
  <c r="W297" i="7"/>
  <c r="O298" i="7"/>
  <c r="V298" i="7"/>
  <c r="W298" i="7"/>
  <c r="O299" i="7"/>
  <c r="V299" i="7"/>
  <c r="W299" i="7"/>
  <c r="O300" i="7"/>
  <c r="V300" i="7"/>
  <c r="W300" i="7"/>
  <c r="O301" i="7"/>
  <c r="V301" i="7"/>
  <c r="W301" i="7"/>
  <c r="O303" i="7"/>
  <c r="V303" i="7"/>
  <c r="W303" i="7"/>
  <c r="O306" i="7"/>
  <c r="V306" i="7"/>
  <c r="W306" i="7"/>
  <c r="O307" i="7"/>
  <c r="V307" i="7"/>
  <c r="W307" i="7"/>
  <c r="O308" i="7"/>
  <c r="V308" i="7"/>
  <c r="W308" i="7"/>
  <c r="O309" i="7"/>
  <c r="V309" i="7"/>
  <c r="W309" i="7"/>
  <c r="O313" i="7"/>
  <c r="V313" i="7"/>
  <c r="W313" i="7"/>
  <c r="O316" i="7"/>
  <c r="V316" i="7"/>
  <c r="W316" i="7"/>
  <c r="O318" i="7"/>
  <c r="V318" i="7"/>
  <c r="W318" i="7"/>
  <c r="O320" i="7"/>
  <c r="V320" i="7"/>
  <c r="W320" i="7"/>
  <c r="O326" i="7"/>
  <c r="V326" i="7"/>
  <c r="W326" i="7"/>
  <c r="O324" i="7"/>
  <c r="V324" i="7"/>
  <c r="W324" i="7"/>
  <c r="O330" i="7"/>
  <c r="V330" i="7"/>
  <c r="W330" i="7"/>
  <c r="O331" i="7"/>
  <c r="V331" i="7"/>
  <c r="W331" i="7"/>
  <c r="O332" i="7"/>
  <c r="V332" i="7"/>
  <c r="W332" i="7"/>
  <c r="O334" i="7"/>
  <c r="V334" i="7"/>
  <c r="W334" i="7"/>
  <c r="O337" i="7"/>
  <c r="V337" i="7"/>
  <c r="W337" i="7"/>
  <c r="O336" i="7"/>
  <c r="V336" i="7"/>
  <c r="W336" i="7"/>
  <c r="O345" i="7"/>
  <c r="V345" i="7"/>
  <c r="W345" i="7"/>
  <c r="O347" i="7"/>
  <c r="V347" i="7"/>
  <c r="W347" i="7"/>
  <c r="O348" i="7"/>
  <c r="V348" i="7"/>
  <c r="W348" i="7"/>
  <c r="O352" i="7"/>
  <c r="V352" i="7"/>
  <c r="W352" i="7"/>
  <c r="O354" i="7"/>
  <c r="V354" i="7"/>
  <c r="W354" i="7"/>
  <c r="O356" i="7"/>
  <c r="V356" i="7"/>
  <c r="W356" i="7"/>
  <c r="O355" i="7"/>
  <c r="V355" i="7"/>
  <c r="W355" i="7"/>
  <c r="O357" i="7"/>
  <c r="V357" i="7"/>
  <c r="W357" i="7"/>
  <c r="O358" i="7"/>
  <c r="V358" i="7"/>
  <c r="W358" i="7"/>
  <c r="O359" i="7"/>
  <c r="V359" i="7"/>
  <c r="W359" i="7"/>
  <c r="O360" i="7"/>
  <c r="V360" i="7"/>
  <c r="W360" i="7"/>
  <c r="O362" i="7"/>
  <c r="V362" i="7"/>
  <c r="W362" i="7"/>
  <c r="O367" i="7"/>
  <c r="V367" i="7"/>
  <c r="W367" i="7"/>
  <c r="O369" i="7"/>
  <c r="V369" i="7"/>
  <c r="W369" i="7"/>
  <c r="O370" i="7"/>
  <c r="V370" i="7"/>
  <c r="W370" i="7"/>
  <c r="O373" i="7"/>
  <c r="V373" i="7"/>
  <c r="W373" i="7"/>
  <c r="O374" i="7"/>
  <c r="V374" i="7"/>
  <c r="W374" i="7"/>
  <c r="O375" i="7"/>
  <c r="V375" i="7"/>
  <c r="W375" i="7"/>
  <c r="O377" i="7"/>
  <c r="V377" i="7"/>
  <c r="W377" i="7"/>
  <c r="O378" i="7"/>
  <c r="V378" i="7"/>
  <c r="W378" i="7"/>
  <c r="O380" i="7"/>
  <c r="V380" i="7"/>
  <c r="W380" i="7"/>
  <c r="O382" i="7"/>
  <c r="V382" i="7"/>
  <c r="W382" i="7"/>
  <c r="O384" i="7"/>
  <c r="V384" i="7"/>
  <c r="W384" i="7"/>
  <c r="O385" i="7"/>
  <c r="V385" i="7"/>
  <c r="W385" i="7"/>
  <c r="O386" i="7"/>
  <c r="V386" i="7"/>
  <c r="W386" i="7"/>
  <c r="O387" i="7"/>
  <c r="V387" i="7"/>
  <c r="W387" i="7"/>
  <c r="O388" i="7"/>
  <c r="V388" i="7"/>
  <c r="W388" i="7"/>
  <c r="O390" i="7"/>
  <c r="V390" i="7"/>
  <c r="W390" i="7"/>
  <c r="O393" i="7"/>
  <c r="V393" i="7"/>
  <c r="W393" i="7"/>
  <c r="O395" i="7"/>
  <c r="V395" i="7"/>
  <c r="W395" i="7"/>
  <c r="O397" i="7"/>
  <c r="V397" i="7"/>
  <c r="W397" i="7"/>
  <c r="O400" i="7"/>
  <c r="V400" i="7"/>
  <c r="W400" i="7"/>
  <c r="O401" i="7"/>
  <c r="V401" i="7"/>
  <c r="W401" i="7"/>
  <c r="O402" i="7"/>
  <c r="V402" i="7"/>
  <c r="W402" i="7"/>
  <c r="O405" i="7"/>
  <c r="V405" i="7"/>
  <c r="W405" i="7"/>
  <c r="O407" i="7"/>
  <c r="V407" i="7"/>
  <c r="W407" i="7"/>
  <c r="O409" i="7"/>
  <c r="V409" i="7"/>
  <c r="W409" i="7"/>
  <c r="O411" i="7"/>
  <c r="V411" i="7"/>
  <c r="W411" i="7"/>
  <c r="O413" i="7"/>
  <c r="V413" i="7"/>
  <c r="W413" i="7"/>
  <c r="O415" i="7"/>
  <c r="V415" i="7"/>
  <c r="W415" i="7"/>
  <c r="O417" i="7"/>
  <c r="V417" i="7"/>
  <c r="W417" i="7"/>
  <c r="O418" i="7"/>
  <c r="V418" i="7"/>
  <c r="W418" i="7"/>
  <c r="O421" i="7"/>
  <c r="V421" i="7"/>
  <c r="W421" i="7"/>
  <c r="O425" i="7"/>
  <c r="V425" i="7"/>
  <c r="W425" i="7"/>
  <c r="O429" i="7"/>
  <c r="V429" i="7"/>
  <c r="W429" i="7"/>
  <c r="O430" i="7"/>
  <c r="V430" i="7"/>
  <c r="W430" i="7"/>
  <c r="O433" i="7"/>
  <c r="V433" i="7"/>
  <c r="W433" i="7"/>
  <c r="O435" i="7"/>
  <c r="V435" i="7"/>
  <c r="W435" i="7"/>
  <c r="O436" i="7"/>
  <c r="V436" i="7"/>
  <c r="W436" i="7"/>
  <c r="O437" i="7"/>
  <c r="V437" i="7"/>
  <c r="W437" i="7"/>
  <c r="O438" i="7"/>
  <c r="V438" i="7"/>
  <c r="W438" i="7"/>
  <c r="O439" i="7"/>
  <c r="V439" i="7"/>
  <c r="W439" i="7"/>
  <c r="O440" i="7"/>
  <c r="V440" i="7"/>
  <c r="W440" i="7"/>
  <c r="O441" i="7"/>
  <c r="V441" i="7"/>
  <c r="W441" i="7"/>
  <c r="O446" i="7"/>
  <c r="V446" i="7"/>
  <c r="W446" i="7"/>
  <c r="O449" i="7"/>
  <c r="V449" i="7"/>
  <c r="W449" i="7"/>
  <c r="O448" i="7"/>
  <c r="V448" i="7"/>
  <c r="W448" i="7"/>
  <c r="O450" i="7"/>
  <c r="V450" i="7"/>
  <c r="W450" i="7"/>
  <c r="O451" i="7"/>
  <c r="V451" i="7"/>
  <c r="W451" i="7"/>
  <c r="O452" i="7"/>
  <c r="V452" i="7"/>
  <c r="W452" i="7"/>
  <c r="O457" i="7"/>
  <c r="V457" i="7"/>
  <c r="W457" i="7"/>
  <c r="O459" i="7"/>
  <c r="V459" i="7"/>
  <c r="W459" i="7"/>
  <c r="O462" i="7"/>
  <c r="V462" i="7"/>
  <c r="W462" i="7"/>
  <c r="O465" i="7"/>
  <c r="V465" i="7"/>
  <c r="W465" i="7"/>
  <c r="O468" i="7"/>
  <c r="V468" i="7"/>
  <c r="W468" i="7"/>
  <c r="O470" i="7"/>
  <c r="V470" i="7"/>
  <c r="W470" i="7"/>
  <c r="O471" i="7"/>
  <c r="V471" i="7"/>
  <c r="W471" i="7"/>
  <c r="O475" i="7"/>
  <c r="V475" i="7"/>
  <c r="W475" i="7"/>
  <c r="O478" i="7"/>
  <c r="V478" i="7"/>
  <c r="W478" i="7"/>
  <c r="O479" i="7"/>
  <c r="V479" i="7"/>
  <c r="W479" i="7"/>
  <c r="O483" i="7"/>
  <c r="V483" i="7"/>
  <c r="W483" i="7"/>
  <c r="O486" i="7"/>
  <c r="V486" i="7"/>
  <c r="W486" i="7"/>
  <c r="O489" i="7"/>
  <c r="V489" i="7"/>
  <c r="W489" i="7"/>
  <c r="O495" i="7"/>
  <c r="V495" i="7"/>
  <c r="W495" i="7"/>
  <c r="O494" i="7"/>
  <c r="V494" i="7"/>
  <c r="W494" i="7"/>
  <c r="O497" i="7"/>
  <c r="V497" i="7"/>
  <c r="W497" i="7"/>
  <c r="O500" i="7"/>
  <c r="V500" i="7"/>
  <c r="W500" i="7"/>
  <c r="O502" i="7"/>
  <c r="V502" i="7"/>
  <c r="W502" i="7"/>
  <c r="O506" i="7"/>
  <c r="V506" i="7"/>
  <c r="W506" i="7"/>
  <c r="O507" i="7"/>
  <c r="V507" i="7"/>
  <c r="W507" i="7"/>
  <c r="O508" i="7"/>
  <c r="V508" i="7"/>
  <c r="W508" i="7"/>
  <c r="O509" i="7"/>
  <c r="V509" i="7"/>
  <c r="W509" i="7"/>
  <c r="O510" i="7"/>
  <c r="V510" i="7"/>
  <c r="W510" i="7"/>
  <c r="O513" i="7"/>
  <c r="V513" i="7"/>
  <c r="W513" i="7"/>
  <c r="O512" i="7"/>
  <c r="V512" i="7"/>
  <c r="W512" i="7"/>
  <c r="O515" i="7"/>
  <c r="V515" i="7"/>
  <c r="W515" i="7"/>
  <c r="O517" i="7"/>
  <c r="V517" i="7"/>
  <c r="W517" i="7"/>
  <c r="O519" i="7"/>
  <c r="V519" i="7"/>
  <c r="W519" i="7"/>
  <c r="O14" i="7"/>
  <c r="V14" i="7"/>
  <c r="W14" i="7"/>
  <c r="O19" i="7"/>
  <c r="V19" i="7"/>
  <c r="W19" i="7"/>
  <c r="V24" i="7"/>
  <c r="W24" i="7"/>
  <c r="V26" i="7"/>
  <c r="W26" i="7"/>
  <c r="V29" i="7"/>
  <c r="W29" i="7"/>
  <c r="V32" i="7"/>
  <c r="W32" i="7"/>
  <c r="V33" i="7"/>
  <c r="W33" i="7"/>
  <c r="V35" i="7"/>
  <c r="W35" i="7"/>
  <c r="V37" i="7"/>
  <c r="W37" i="7"/>
  <c r="L7" i="7"/>
  <c r="M7" i="7" s="1"/>
  <c r="L9" i="7"/>
  <c r="L8" i="7"/>
  <c r="P8" i="7" s="1"/>
  <c r="L10" i="7"/>
  <c r="M10" i="7" s="1"/>
  <c r="L11" i="7"/>
  <c r="L12" i="7"/>
  <c r="M12" i="7" s="1"/>
  <c r="L13" i="7"/>
  <c r="M13" i="7" s="1"/>
  <c r="L15" i="7"/>
  <c r="P15" i="7" s="1"/>
  <c r="L16" i="7"/>
  <c r="P16" i="7" s="1"/>
  <c r="L17" i="7"/>
  <c r="P17" i="7" s="1"/>
  <c r="L18" i="7"/>
  <c r="M18" i="7" s="1"/>
  <c r="L21" i="7"/>
  <c r="M21" i="7" s="1"/>
  <c r="L20" i="7"/>
  <c r="L23" i="7"/>
  <c r="M23" i="7" s="1"/>
  <c r="L22" i="7"/>
  <c r="M22" i="7" s="1"/>
  <c r="L25" i="7"/>
  <c r="M25" i="7" s="1"/>
  <c r="L27" i="7"/>
  <c r="M27" i="7" s="1"/>
  <c r="L28" i="7"/>
  <c r="P28" i="7" s="1"/>
  <c r="L30" i="7"/>
  <c r="P30" i="7" s="1"/>
  <c r="L31" i="7"/>
  <c r="M31" i="7" s="1"/>
  <c r="L34" i="7"/>
  <c r="M34" i="7" s="1"/>
  <c r="L36" i="7"/>
  <c r="M36" i="7" s="1"/>
  <c r="L40" i="7"/>
  <c r="M40" i="7" s="1"/>
  <c r="L41" i="7"/>
  <c r="P41" i="7" s="1"/>
  <c r="L42" i="7"/>
  <c r="L44" i="7"/>
  <c r="P44" i="7" s="1"/>
  <c r="L47" i="7"/>
  <c r="L46" i="7"/>
  <c r="P46" i="7" s="1"/>
  <c r="L49" i="7"/>
  <c r="M49" i="7" s="1"/>
  <c r="L48" i="7"/>
  <c r="M48" i="7" s="1"/>
  <c r="L51" i="7"/>
  <c r="L50" i="7"/>
  <c r="M50" i="7" s="1"/>
  <c r="L52" i="7"/>
  <c r="P52" i="7" s="1"/>
  <c r="L54" i="7"/>
  <c r="M54" i="7" s="1"/>
  <c r="L55" i="7"/>
  <c r="M55" i="7" s="1"/>
  <c r="L57" i="7"/>
  <c r="P57" i="7" s="1"/>
  <c r="L58" i="7"/>
  <c r="M58" i="7" s="1"/>
  <c r="L61" i="7"/>
  <c r="L60" i="7"/>
  <c r="M60" i="7" s="1"/>
  <c r="L65" i="7"/>
  <c r="P65" i="7" s="1"/>
  <c r="L66" i="7"/>
  <c r="M66" i="7" s="1"/>
  <c r="L69" i="7"/>
  <c r="M69" i="7" s="1"/>
  <c r="L70" i="7"/>
  <c r="P70" i="7" s="1"/>
  <c r="L73" i="7"/>
  <c r="M73" i="7" s="1"/>
  <c r="L72" i="7"/>
  <c r="P72" i="7" s="1"/>
  <c r="L76" i="7"/>
  <c r="P76" i="7" s="1"/>
  <c r="L79" i="7"/>
  <c r="P79" i="7" s="1"/>
  <c r="L80" i="7"/>
  <c r="M80" i="7" s="1"/>
  <c r="L81" i="7"/>
  <c r="L82" i="7"/>
  <c r="M82" i="7" s="1"/>
  <c r="L85" i="7"/>
  <c r="M85" i="7" s="1"/>
  <c r="L88" i="7"/>
  <c r="M88" i="7" s="1"/>
  <c r="L89" i="7"/>
  <c r="P89" i="7" s="1"/>
  <c r="L94" i="7"/>
  <c r="P94" i="7" s="1"/>
  <c r="L96" i="7"/>
  <c r="P96" i="7" s="1"/>
  <c r="L98" i="7"/>
  <c r="M98" i="7" s="1"/>
  <c r="L99" i="7"/>
  <c r="P99" i="7" s="1"/>
  <c r="L101" i="7"/>
  <c r="M101" i="7" s="1"/>
  <c r="L102" i="7"/>
  <c r="P102" i="7" s="1"/>
  <c r="L103" i="7"/>
  <c r="M103" i="7" s="1"/>
  <c r="L104" i="7"/>
  <c r="M104" i="7" s="1"/>
  <c r="L105" i="7"/>
  <c r="L106" i="7"/>
  <c r="M106" i="7" s="1"/>
  <c r="L107" i="7"/>
  <c r="M107" i="7" s="1"/>
  <c r="L108" i="7"/>
  <c r="M108" i="7" s="1"/>
  <c r="L111" i="7"/>
  <c r="M111" i="7" s="1"/>
  <c r="L115" i="7"/>
  <c r="P115" i="7" s="1"/>
  <c r="L114" i="7"/>
  <c r="P114" i="7" s="1"/>
  <c r="L116" i="7"/>
  <c r="M116" i="7" s="1"/>
  <c r="L118" i="7"/>
  <c r="P118" i="7" s="1"/>
  <c r="L117" i="7"/>
  <c r="L120" i="7"/>
  <c r="L122" i="7"/>
  <c r="L124" i="7"/>
  <c r="P124" i="7" s="1"/>
  <c r="L128" i="7"/>
  <c r="P128" i="7" s="1"/>
  <c r="L127" i="7"/>
  <c r="P127" i="7" s="1"/>
  <c r="L133" i="7"/>
  <c r="M133" i="7" s="1"/>
  <c r="L136" i="7"/>
  <c r="M136" i="7" s="1"/>
  <c r="L137" i="7"/>
  <c r="M137" i="7" s="1"/>
  <c r="L141" i="7"/>
  <c r="P141" i="7" s="1"/>
  <c r="L144" i="7"/>
  <c r="M144" i="7" s="1"/>
  <c r="L143" i="7"/>
  <c r="M143" i="7" s="1"/>
  <c r="L146" i="7"/>
  <c r="L145" i="7"/>
  <c r="P145" i="7" s="1"/>
  <c r="L148" i="7"/>
  <c r="M148" i="7" s="1"/>
  <c r="L147" i="7"/>
  <c r="P147" i="7" s="1"/>
  <c r="L149" i="7"/>
  <c r="M149" i="7" s="1"/>
  <c r="L151" i="7"/>
  <c r="M151" i="7" s="1"/>
  <c r="L153" i="7"/>
  <c r="M153" i="7" s="1"/>
  <c r="L155" i="7"/>
  <c r="P155" i="7" s="1"/>
  <c r="L157" i="7"/>
  <c r="L159" i="7"/>
  <c r="P159" i="7" s="1"/>
  <c r="L160" i="7"/>
  <c r="M160" i="7" s="1"/>
  <c r="L165" i="7"/>
  <c r="L167" i="7"/>
  <c r="M167" i="7" s="1"/>
  <c r="L171" i="7"/>
  <c r="L173" i="7"/>
  <c r="P173" i="7" s="1"/>
  <c r="L174" i="7"/>
  <c r="L177" i="7"/>
  <c r="P177" i="7" s="1"/>
  <c r="L179" i="7"/>
  <c r="P179" i="7" s="1"/>
  <c r="L185" i="7"/>
  <c r="M185" i="7" s="1"/>
  <c r="L188" i="7"/>
  <c r="L190" i="7"/>
  <c r="M190" i="7" s="1"/>
  <c r="L191" i="7"/>
  <c r="P191" i="7" s="1"/>
  <c r="L193" i="7"/>
  <c r="P193" i="7" s="1"/>
  <c r="L195" i="7"/>
  <c r="P195" i="7" s="1"/>
  <c r="L196" i="7"/>
  <c r="P196" i="7" s="1"/>
  <c r="L197" i="7"/>
  <c r="P197" i="7" s="1"/>
  <c r="L198" i="7"/>
  <c r="L199" i="7"/>
  <c r="P199" i="7" s="1"/>
  <c r="L203" i="7"/>
  <c r="L208" i="7"/>
  <c r="L210" i="7"/>
  <c r="P210" i="7" s="1"/>
  <c r="L211" i="7"/>
  <c r="L215" i="7"/>
  <c r="L219" i="7"/>
  <c r="L220" i="7"/>
  <c r="P220" i="7" s="1"/>
  <c r="L221" i="7"/>
  <c r="P221" i="7" s="1"/>
  <c r="L225" i="7"/>
  <c r="L224" i="7"/>
  <c r="P224" i="7" s="1"/>
  <c r="L226" i="7"/>
  <c r="L227" i="7"/>
  <c r="L228" i="7"/>
  <c r="P228" i="7" s="1"/>
  <c r="L230" i="7"/>
  <c r="L231" i="7"/>
  <c r="P231" i="7" s="1"/>
  <c r="L232" i="7"/>
  <c r="L235" i="7"/>
  <c r="P235" i="7" s="1"/>
  <c r="L233" i="7"/>
  <c r="L236" i="7"/>
  <c r="P236" i="7" s="1"/>
  <c r="L237" i="7"/>
  <c r="L241" i="7"/>
  <c r="L240" i="7"/>
  <c r="L242" i="7"/>
  <c r="L243" i="7"/>
  <c r="P243" i="7" s="1"/>
  <c r="L244" i="7"/>
  <c r="P244" i="7" s="1"/>
  <c r="L245" i="7"/>
  <c r="P245" i="7" s="1"/>
  <c r="L246" i="7"/>
  <c r="L248" i="7"/>
  <c r="P248" i="7" s="1"/>
  <c r="L249" i="7"/>
  <c r="P249" i="7" s="1"/>
  <c r="L253" i="7"/>
  <c r="P253" i="7" s="1"/>
  <c r="L254" i="7"/>
  <c r="L255" i="7"/>
  <c r="L256" i="7"/>
  <c r="L257" i="7"/>
  <c r="P257" i="7" s="1"/>
  <c r="L258" i="7"/>
  <c r="P258" i="7" s="1"/>
  <c r="L259" i="7"/>
  <c r="L260" i="7"/>
  <c r="L261" i="7"/>
  <c r="L263" i="7"/>
  <c r="L265" i="7"/>
  <c r="L266" i="7"/>
  <c r="L267" i="7"/>
  <c r="L268" i="7"/>
  <c r="L269" i="7"/>
  <c r="P269" i="7" s="1"/>
  <c r="L271" i="7"/>
  <c r="L273" i="7"/>
  <c r="L276" i="7"/>
  <c r="P276" i="7" s="1"/>
  <c r="L278" i="7"/>
  <c r="P278" i="7" s="1"/>
  <c r="L282" i="7"/>
  <c r="P282" i="7" s="1"/>
  <c r="L284" i="7"/>
  <c r="L286" i="7"/>
  <c r="L287" i="7"/>
  <c r="P287" i="7" s="1"/>
  <c r="L289" i="7"/>
  <c r="P289" i="7" s="1"/>
  <c r="L291" i="7"/>
  <c r="P291" i="7" s="1"/>
  <c r="L294" i="7"/>
  <c r="P294" i="7" s="1"/>
  <c r="L295" i="7"/>
  <c r="L296" i="7"/>
  <c r="L297" i="7"/>
  <c r="L298" i="7"/>
  <c r="P298" i="7" s="1"/>
  <c r="L299" i="7"/>
  <c r="L300" i="7"/>
  <c r="L301" i="7"/>
  <c r="L303" i="7"/>
  <c r="P303" i="7" s="1"/>
  <c r="L306" i="7"/>
  <c r="L307" i="7"/>
  <c r="P307" i="7" s="1"/>
  <c r="L308" i="7"/>
  <c r="P308" i="7" s="1"/>
  <c r="L309" i="7"/>
  <c r="L313" i="7"/>
  <c r="L316" i="7"/>
  <c r="L318" i="7"/>
  <c r="P318" i="7" s="1"/>
  <c r="L320" i="7"/>
  <c r="L326" i="7"/>
  <c r="L324" i="7"/>
  <c r="L330" i="7"/>
  <c r="L331" i="7"/>
  <c r="P331" i="7" s="1"/>
  <c r="L332" i="7"/>
  <c r="L334" i="7"/>
  <c r="L337" i="7"/>
  <c r="L336" i="7"/>
  <c r="P336" i="7" s="1"/>
  <c r="L345" i="7"/>
  <c r="P345" i="7" s="1"/>
  <c r="L347" i="7"/>
  <c r="L348" i="7"/>
  <c r="L352" i="7"/>
  <c r="L354" i="7"/>
  <c r="L356" i="7"/>
  <c r="L355" i="7"/>
  <c r="P355" i="7" s="1"/>
  <c r="L357" i="7"/>
  <c r="L358" i="7"/>
  <c r="P358" i="7" s="1"/>
  <c r="L359" i="7"/>
  <c r="P359" i="7" s="1"/>
  <c r="L360" i="7"/>
  <c r="P360" i="7" s="1"/>
  <c r="L362" i="7"/>
  <c r="L367" i="7"/>
  <c r="P367" i="7" s="1"/>
  <c r="L369" i="7"/>
  <c r="P369" i="7" s="1"/>
  <c r="L370" i="7"/>
  <c r="P370" i="7" s="1"/>
  <c r="L373" i="7"/>
  <c r="L374" i="7"/>
  <c r="P374" i="7" s="1"/>
  <c r="L375" i="7"/>
  <c r="P375" i="7" s="1"/>
  <c r="L377" i="7"/>
  <c r="P377" i="7" s="1"/>
  <c r="L378" i="7"/>
  <c r="L380" i="7"/>
  <c r="P380" i="7" s="1"/>
  <c r="L382" i="7"/>
  <c r="L384" i="7"/>
  <c r="P384" i="7" s="1"/>
  <c r="L385" i="7"/>
  <c r="P385" i="7" s="1"/>
  <c r="L386" i="7"/>
  <c r="P386" i="7" s="1"/>
  <c r="L387" i="7"/>
  <c r="P387" i="7" s="1"/>
  <c r="L388" i="7"/>
  <c r="L390" i="7"/>
  <c r="P390" i="7" s="1"/>
  <c r="L393" i="7"/>
  <c r="P393" i="7" s="1"/>
  <c r="L395" i="7"/>
  <c r="P395" i="7" s="1"/>
  <c r="L397" i="7"/>
  <c r="L400" i="7"/>
  <c r="L401" i="7"/>
  <c r="L402" i="7"/>
  <c r="P402" i="7" s="1"/>
  <c r="L405" i="7"/>
  <c r="L407" i="7"/>
  <c r="L409" i="7"/>
  <c r="P409" i="7" s="1"/>
  <c r="L411" i="7"/>
  <c r="L413" i="7"/>
  <c r="L415" i="7"/>
  <c r="P415" i="7" s="1"/>
  <c r="L417" i="7"/>
  <c r="P417" i="7" s="1"/>
  <c r="L418" i="7"/>
  <c r="L421" i="7"/>
  <c r="L425" i="7"/>
  <c r="P425" i="7" s="1"/>
  <c r="L429" i="7"/>
  <c r="P429" i="7" s="1"/>
  <c r="L430" i="7"/>
  <c r="P430" i="7" s="1"/>
  <c r="L433" i="7"/>
  <c r="P433" i="7" s="1"/>
  <c r="L435" i="7"/>
  <c r="P435" i="7" s="1"/>
  <c r="L436" i="7"/>
  <c r="L437" i="7"/>
  <c r="P437" i="7" s="1"/>
  <c r="L438" i="7"/>
  <c r="L439" i="7"/>
  <c r="L440" i="7"/>
  <c r="L441" i="7"/>
  <c r="P441" i="7" s="1"/>
  <c r="L446" i="7"/>
  <c r="L449" i="7"/>
  <c r="P449" i="7" s="1"/>
  <c r="L448" i="7"/>
  <c r="P448" i="7" s="1"/>
  <c r="L450" i="7"/>
  <c r="P450" i="7" s="1"/>
  <c r="L451" i="7"/>
  <c r="L452" i="7"/>
  <c r="P452" i="7" s="1"/>
  <c r="L457" i="7"/>
  <c r="P457" i="7" s="1"/>
  <c r="L459" i="7"/>
  <c r="L462" i="7"/>
  <c r="L465" i="7"/>
  <c r="L468" i="7"/>
  <c r="P468" i="7" s="1"/>
  <c r="L470" i="7"/>
  <c r="P470" i="7" s="1"/>
  <c r="L471" i="7"/>
  <c r="L475" i="7"/>
  <c r="L478" i="7"/>
  <c r="L479" i="7"/>
  <c r="P479" i="7" s="1"/>
  <c r="L483" i="7"/>
  <c r="P483" i="7" s="1"/>
  <c r="L486" i="7"/>
  <c r="L489" i="7"/>
  <c r="P489" i="7" s="1"/>
  <c r="L495" i="7"/>
  <c r="L494" i="7"/>
  <c r="P494" i="7" s="1"/>
  <c r="L497" i="7"/>
  <c r="L500" i="7"/>
  <c r="L502" i="7"/>
  <c r="P502" i="7" s="1"/>
  <c r="L506" i="7"/>
  <c r="P506" i="7" s="1"/>
  <c r="L507" i="7"/>
  <c r="P507" i="7" s="1"/>
  <c r="L508" i="7"/>
  <c r="P508" i="7" s="1"/>
  <c r="L509" i="7"/>
  <c r="L510" i="7"/>
  <c r="L513" i="7"/>
  <c r="L512" i="7"/>
  <c r="P512" i="7" s="1"/>
  <c r="L515" i="7"/>
  <c r="L517" i="7"/>
  <c r="J7" i="7"/>
  <c r="J9" i="7"/>
  <c r="J8" i="7"/>
  <c r="V597" i="7"/>
  <c r="W597" i="7"/>
  <c r="V598" i="7"/>
  <c r="W598" i="7"/>
  <c r="V599" i="7"/>
  <c r="W599" i="7"/>
  <c r="V601" i="7"/>
  <c r="W601" i="7"/>
  <c r="V600" i="7"/>
  <c r="W600" i="7"/>
  <c r="V603" i="7"/>
  <c r="W603" i="7"/>
  <c r="V602" i="7"/>
  <c r="W602" i="7"/>
  <c r="V605" i="7"/>
  <c r="W605" i="7"/>
  <c r="V604" i="7"/>
  <c r="W604" i="7"/>
  <c r="V606" i="7"/>
  <c r="W606" i="7"/>
  <c r="V607" i="7"/>
  <c r="W607" i="7"/>
  <c r="V608" i="7"/>
  <c r="W608" i="7"/>
  <c r="V609" i="7"/>
  <c r="W609" i="7"/>
  <c r="V610" i="7"/>
  <c r="W610" i="7"/>
  <c r="V611" i="7"/>
  <c r="W611" i="7"/>
  <c r="V612" i="7"/>
  <c r="W612" i="7"/>
  <c r="V613" i="7"/>
  <c r="W613" i="7"/>
  <c r="V614" i="7"/>
  <c r="W614" i="7"/>
  <c r="V615" i="7"/>
  <c r="W615" i="7"/>
  <c r="V616" i="7"/>
  <c r="W616" i="7"/>
  <c r="V617" i="7"/>
  <c r="W617" i="7"/>
  <c r="V618" i="7"/>
  <c r="W618" i="7"/>
  <c r="V619" i="7"/>
  <c r="W619" i="7"/>
  <c r="V620" i="7"/>
  <c r="W620" i="7"/>
  <c r="V621" i="7"/>
  <c r="W621" i="7"/>
  <c r="V622" i="7"/>
  <c r="W622" i="7"/>
  <c r="V623" i="7"/>
  <c r="W623" i="7"/>
  <c r="V624" i="7"/>
  <c r="W624" i="7"/>
  <c r="V625" i="7"/>
  <c r="W625" i="7"/>
  <c r="V626" i="7"/>
  <c r="W626" i="7"/>
  <c r="V627" i="7"/>
  <c r="W627" i="7"/>
  <c r="V628" i="7"/>
  <c r="W628" i="7"/>
  <c r="V629" i="7"/>
  <c r="W629" i="7"/>
  <c r="V630" i="7"/>
  <c r="W630" i="7"/>
  <c r="V631" i="7"/>
  <c r="W631" i="7"/>
  <c r="V632" i="7"/>
  <c r="W632" i="7"/>
  <c r="V633" i="7"/>
  <c r="W633" i="7"/>
  <c r="O611" i="7"/>
  <c r="O612" i="7"/>
  <c r="O613" i="7"/>
  <c r="O614" i="7"/>
  <c r="O618" i="7"/>
  <c r="O619" i="7"/>
  <c r="O621" i="7"/>
  <c r="O623" i="7"/>
  <c r="O625" i="7"/>
  <c r="O626" i="7"/>
  <c r="O628" i="7"/>
  <c r="O630" i="7"/>
  <c r="O631" i="7"/>
  <c r="O635" i="7"/>
  <c r="O636" i="7"/>
  <c r="S636" i="7" s="1"/>
  <c r="T636" i="7" s="1"/>
  <c r="L611" i="7"/>
  <c r="L612" i="7"/>
  <c r="L613" i="7"/>
  <c r="P613" i="7" s="1"/>
  <c r="L614" i="7"/>
  <c r="P614" i="7" s="1"/>
  <c r="L618" i="7"/>
  <c r="L619" i="7"/>
  <c r="L621" i="7"/>
  <c r="P621" i="7" s="1"/>
  <c r="L623" i="7"/>
  <c r="P623" i="7" s="1"/>
  <c r="L625" i="7"/>
  <c r="P625" i="7" s="1"/>
  <c r="L626" i="7"/>
  <c r="L628" i="7"/>
  <c r="L630" i="7"/>
  <c r="L631" i="7"/>
  <c r="P631" i="7" s="1"/>
  <c r="L635" i="7"/>
  <c r="P635" i="7" s="1"/>
  <c r="L636" i="7"/>
  <c r="L639" i="7"/>
  <c r="P639" i="7" s="1"/>
  <c r="L606" i="7"/>
  <c r="L607" i="7"/>
  <c r="L608" i="7"/>
  <c r="L610" i="7"/>
  <c r="L609" i="7"/>
  <c r="P609" i="7" s="1"/>
  <c r="L616" i="7"/>
  <c r="L615" i="7"/>
  <c r="P615" i="7" s="1"/>
  <c r="L617" i="7"/>
  <c r="P617" i="7" s="1"/>
  <c r="L620" i="7"/>
  <c r="P620" i="7" s="1"/>
  <c r="L622" i="7"/>
  <c r="P622" i="7" s="1"/>
  <c r="L624" i="7"/>
  <c r="L627" i="7"/>
  <c r="P627" i="7" s="1"/>
  <c r="L629" i="7"/>
  <c r="P629" i="7" s="1"/>
  <c r="L632" i="7"/>
  <c r="L633" i="7"/>
  <c r="L634" i="7"/>
  <c r="L637" i="7"/>
  <c r="L638" i="7"/>
  <c r="O608" i="7"/>
  <c r="O610" i="7"/>
  <c r="O609" i="7"/>
  <c r="O616" i="7"/>
  <c r="O615" i="7"/>
  <c r="O617" i="7"/>
  <c r="O620" i="7"/>
  <c r="O622" i="7"/>
  <c r="O624" i="7"/>
  <c r="O627" i="7"/>
  <c r="O629" i="7"/>
  <c r="O632" i="7"/>
  <c r="O633" i="7"/>
  <c r="O634" i="7"/>
  <c r="O637" i="7"/>
  <c r="S637" i="7" s="1"/>
  <c r="T637" i="7" s="1"/>
  <c r="O638" i="7"/>
  <c r="S638" i="7" s="1"/>
  <c r="T638" i="7" s="1"/>
  <c r="V589" i="7"/>
  <c r="W589" i="7"/>
  <c r="V590" i="7"/>
  <c r="W590" i="7"/>
  <c r="V591" i="7"/>
  <c r="W591" i="7"/>
  <c r="V592" i="7"/>
  <c r="W592" i="7"/>
  <c r="V595" i="7"/>
  <c r="W595" i="7"/>
  <c r="V596" i="7"/>
  <c r="W596" i="7"/>
  <c r="V593" i="7"/>
  <c r="W593" i="7"/>
  <c r="V594" i="7"/>
  <c r="W594" i="7"/>
  <c r="O596" i="7"/>
  <c r="O599" i="7"/>
  <c r="O601" i="7"/>
  <c r="O603" i="7"/>
  <c r="O605" i="7"/>
  <c r="O607" i="7"/>
  <c r="O593" i="7"/>
  <c r="O594" i="7"/>
  <c r="O597" i="7"/>
  <c r="O598" i="7"/>
  <c r="O600" i="7"/>
  <c r="O602" i="7"/>
  <c r="O604" i="7"/>
  <c r="O606" i="7"/>
  <c r="L605" i="7"/>
  <c r="L593" i="7"/>
  <c r="P593" i="7" s="1"/>
  <c r="L594" i="7"/>
  <c r="L597" i="7"/>
  <c r="P597" i="7" s="1"/>
  <c r="L598" i="7"/>
  <c r="L600" i="7"/>
  <c r="L602" i="7"/>
  <c r="L604" i="7"/>
  <c r="L592" i="7"/>
  <c r="L595" i="7"/>
  <c r="L596" i="7"/>
  <c r="P596" i="7" s="1"/>
  <c r="L599" i="7"/>
  <c r="P599" i="7" s="1"/>
  <c r="L601" i="7"/>
  <c r="P601" i="7" s="1"/>
  <c r="L603" i="7"/>
  <c r="R635" i="7" l="1"/>
  <c r="R634" i="7"/>
  <c r="P497" i="7"/>
  <c r="P407" i="7"/>
  <c r="P373" i="7"/>
  <c r="P451" i="7"/>
  <c r="P233" i="7"/>
  <c r="P297" i="7"/>
  <c r="P354" i="7"/>
  <c r="P515" i="7"/>
  <c r="P271" i="7"/>
  <c r="P371" i="7"/>
  <c r="P290" i="7"/>
  <c r="M607" i="7"/>
  <c r="P607" i="7"/>
  <c r="M455" i="7"/>
  <c r="P455" i="7"/>
  <c r="M519" i="7"/>
  <c r="P519" i="7"/>
  <c r="M606" i="7"/>
  <c r="P606" i="7"/>
  <c r="M260" i="7"/>
  <c r="P260" i="7"/>
  <c r="M232" i="7"/>
  <c r="P232" i="7"/>
  <c r="M325" i="7"/>
  <c r="P325" i="7"/>
  <c r="M218" i="7"/>
  <c r="P218" i="7"/>
  <c r="M405" i="7"/>
  <c r="P405" i="7"/>
  <c r="M230" i="7"/>
  <c r="P230" i="7"/>
  <c r="M518" i="7"/>
  <c r="P518" i="7"/>
  <c r="M495" i="7"/>
  <c r="P495" i="7"/>
  <c r="M256" i="7"/>
  <c r="P256" i="7"/>
  <c r="P404" i="7"/>
  <c r="M216" i="7"/>
  <c r="P216" i="7"/>
  <c r="M401" i="7"/>
  <c r="P401" i="7"/>
  <c r="M255" i="7"/>
  <c r="P255" i="7"/>
  <c r="P514" i="7"/>
  <c r="M633" i="7"/>
  <c r="P633" i="7"/>
  <c r="M439" i="7"/>
  <c r="P439" i="7"/>
  <c r="M320" i="7"/>
  <c r="P320" i="7"/>
  <c r="M442" i="7"/>
  <c r="P442" i="7"/>
  <c r="M632" i="7"/>
  <c r="P632" i="7"/>
  <c r="M473" i="7"/>
  <c r="P473" i="7"/>
  <c r="M478" i="7"/>
  <c r="P478" i="7"/>
  <c r="M431" i="7"/>
  <c r="P431" i="7"/>
  <c r="M314" i="7"/>
  <c r="P314" i="7"/>
  <c r="M624" i="7"/>
  <c r="P624" i="7"/>
  <c r="M469" i="7"/>
  <c r="P469" i="7"/>
  <c r="M392" i="7"/>
  <c r="P392" i="7"/>
  <c r="M264" i="7"/>
  <c r="P264" i="7"/>
  <c r="M600" i="7"/>
  <c r="P600" i="7"/>
  <c r="M427" i="7"/>
  <c r="P427" i="7"/>
  <c r="M262" i="7"/>
  <c r="P262" i="7"/>
  <c r="M356" i="7"/>
  <c r="P356" i="7"/>
  <c r="M215" i="7"/>
  <c r="P215" i="7"/>
  <c r="M594" i="7"/>
  <c r="P594" i="7"/>
  <c r="M268" i="7"/>
  <c r="P268" i="7"/>
  <c r="M242" i="7"/>
  <c r="P242" i="7"/>
  <c r="M423" i="7"/>
  <c r="P423" i="7"/>
  <c r="M201" i="7"/>
  <c r="P201" i="7"/>
  <c r="M616" i="7"/>
  <c r="P616" i="7"/>
  <c r="M612" i="7"/>
  <c r="P612" i="7"/>
  <c r="M510" i="7"/>
  <c r="P510" i="7"/>
  <c r="M462" i="7"/>
  <c r="P462" i="7"/>
  <c r="M421" i="7"/>
  <c r="P421" i="7"/>
  <c r="M348" i="7"/>
  <c r="P348" i="7"/>
  <c r="M301" i="7"/>
  <c r="P301" i="7"/>
  <c r="M267" i="7"/>
  <c r="P267" i="7"/>
  <c r="M240" i="7"/>
  <c r="P240" i="7"/>
  <c r="M208" i="7"/>
  <c r="P208" i="7"/>
  <c r="M492" i="7"/>
  <c r="P492" i="7"/>
  <c r="M422" i="7"/>
  <c r="P422" i="7"/>
  <c r="M379" i="7"/>
  <c r="P379" i="7"/>
  <c r="M302" i="7"/>
  <c r="P302" i="7"/>
  <c r="M247" i="7"/>
  <c r="P247" i="7"/>
  <c r="M200" i="7"/>
  <c r="P200" i="7"/>
  <c r="M261" i="7"/>
  <c r="P261" i="7"/>
  <c r="M411" i="7"/>
  <c r="P411" i="7"/>
  <c r="M334" i="7"/>
  <c r="P334" i="7"/>
  <c r="M485" i="7"/>
  <c r="P485" i="7"/>
  <c r="M295" i="7"/>
  <c r="P295" i="7"/>
  <c r="M484" i="7"/>
  <c r="P484" i="7"/>
  <c r="P408" i="7"/>
  <c r="M603" i="7"/>
  <c r="P603" i="7"/>
  <c r="M280" i="7"/>
  <c r="P280" i="7"/>
  <c r="M480" i="7"/>
  <c r="P480" i="7"/>
  <c r="M279" i="7"/>
  <c r="P279" i="7"/>
  <c r="M630" i="7"/>
  <c r="P630" i="7"/>
  <c r="M440" i="7"/>
  <c r="P440" i="7"/>
  <c r="M477" i="7"/>
  <c r="P477" i="7"/>
  <c r="P353" i="7"/>
  <c r="M214" i="7"/>
  <c r="P214" i="7"/>
  <c r="M628" i="7"/>
  <c r="P628" i="7"/>
  <c r="M362" i="7"/>
  <c r="P362" i="7"/>
  <c r="M226" i="7"/>
  <c r="P226" i="7"/>
  <c r="P351" i="7"/>
  <c r="M438" i="7"/>
  <c r="P438" i="7"/>
  <c r="M284" i="7"/>
  <c r="P284" i="7"/>
  <c r="P474" i="7"/>
  <c r="M316" i="7"/>
  <c r="P316" i="7"/>
  <c r="M432" i="7"/>
  <c r="P432" i="7"/>
  <c r="M209" i="7"/>
  <c r="P209" i="7"/>
  <c r="M501" i="7"/>
  <c r="P501" i="7"/>
  <c r="M219" i="7"/>
  <c r="P219" i="7"/>
  <c r="M467" i="7"/>
  <c r="P467" i="7"/>
  <c r="M311" i="7"/>
  <c r="P311" i="7"/>
  <c r="M466" i="7"/>
  <c r="P466" i="7"/>
  <c r="M310" i="7"/>
  <c r="P310" i="7"/>
  <c r="P383" i="7"/>
  <c r="M465" i="7"/>
  <c r="P465" i="7"/>
  <c r="M605" i="7"/>
  <c r="P605" i="7"/>
  <c r="M611" i="7"/>
  <c r="P611" i="7"/>
  <c r="M509" i="7"/>
  <c r="P509" i="7"/>
  <c r="M459" i="7"/>
  <c r="P459" i="7"/>
  <c r="M418" i="7"/>
  <c r="P418" i="7"/>
  <c r="M382" i="7"/>
  <c r="P382" i="7"/>
  <c r="M347" i="7"/>
  <c r="P347" i="7"/>
  <c r="M300" i="7"/>
  <c r="P300" i="7"/>
  <c r="M266" i="7"/>
  <c r="P266" i="7"/>
  <c r="M241" i="7"/>
  <c r="P241" i="7"/>
  <c r="M203" i="7"/>
  <c r="P203" i="7"/>
  <c r="M420" i="7"/>
  <c r="P420" i="7"/>
  <c r="P338" i="7"/>
  <c r="M337" i="7"/>
  <c r="P337" i="7"/>
  <c r="M487" i="7"/>
  <c r="P487" i="7"/>
  <c r="M288" i="7"/>
  <c r="P288" i="7"/>
  <c r="M285" i="7"/>
  <c r="P285" i="7"/>
  <c r="M332" i="7"/>
  <c r="P332" i="7"/>
  <c r="M259" i="7"/>
  <c r="P259" i="7"/>
  <c r="M327" i="7"/>
  <c r="P327" i="7"/>
  <c r="M638" i="7"/>
  <c r="P638" i="7"/>
  <c r="M445" i="7"/>
  <c r="P445" i="7"/>
  <c r="M444" i="7"/>
  <c r="P444" i="7"/>
  <c r="M634" i="7"/>
  <c r="P634" i="7"/>
  <c r="M227" i="7"/>
  <c r="P227" i="7"/>
  <c r="M403" i="7"/>
  <c r="P403" i="7"/>
  <c r="M400" i="7"/>
  <c r="P400" i="7"/>
  <c r="M254" i="7"/>
  <c r="P254" i="7"/>
  <c r="P476" i="7"/>
  <c r="M595" i="7"/>
  <c r="P595" i="7"/>
  <c r="M626" i="7"/>
  <c r="P626" i="7"/>
  <c r="M397" i="7"/>
  <c r="P397" i="7"/>
  <c r="M274" i="7"/>
  <c r="P274" i="7"/>
  <c r="P225" i="7"/>
  <c r="M504" i="7"/>
  <c r="P504" i="7"/>
  <c r="P436" i="7"/>
  <c r="M313" i="7"/>
  <c r="P313" i="7"/>
  <c r="M503" i="7"/>
  <c r="P503" i="7"/>
  <c r="M346" i="7"/>
  <c r="P346" i="7"/>
  <c r="M207" i="7"/>
  <c r="P207" i="7"/>
  <c r="M475" i="7"/>
  <c r="P475" i="7"/>
  <c r="M357" i="7"/>
  <c r="P357" i="7"/>
  <c r="M246" i="7"/>
  <c r="P246" i="7"/>
  <c r="M471" i="7"/>
  <c r="P471" i="7"/>
  <c r="M388" i="7"/>
  <c r="P388" i="7"/>
  <c r="M273" i="7"/>
  <c r="P273" i="7"/>
  <c r="M618" i="7"/>
  <c r="P618" i="7"/>
  <c r="M342" i="7"/>
  <c r="P342" i="7"/>
  <c r="M306" i="7"/>
  <c r="P306" i="7"/>
  <c r="M211" i="7"/>
  <c r="P211" i="7"/>
  <c r="M464" i="7"/>
  <c r="P464" i="7"/>
  <c r="M513" i="7"/>
  <c r="P513" i="7"/>
  <c r="M352" i="7"/>
  <c r="P352" i="7"/>
  <c r="M610" i="7"/>
  <c r="P610" i="7"/>
  <c r="M299" i="7"/>
  <c r="P299" i="7"/>
  <c r="P265" i="7"/>
  <c r="M237" i="7"/>
  <c r="P237" i="7"/>
  <c r="M490" i="7"/>
  <c r="P490" i="7"/>
  <c r="M419" i="7"/>
  <c r="P419" i="7"/>
  <c r="M372" i="7"/>
  <c r="P372" i="7"/>
  <c r="M335" i="7"/>
  <c r="P335" i="7"/>
  <c r="M292" i="7"/>
  <c r="P292" i="7"/>
  <c r="M238" i="7"/>
  <c r="P238" i="7"/>
  <c r="M413" i="7"/>
  <c r="P413" i="7"/>
  <c r="M414" i="7"/>
  <c r="P414" i="7"/>
  <c r="M296" i="7"/>
  <c r="P296" i="7"/>
  <c r="M500" i="7"/>
  <c r="P500" i="7"/>
  <c r="M636" i="7"/>
  <c r="P636" i="7"/>
  <c r="M446" i="7"/>
  <c r="P446" i="7"/>
  <c r="M330" i="7"/>
  <c r="P330" i="7"/>
  <c r="M323" i="7"/>
  <c r="P323" i="7"/>
  <c r="M637" i="7"/>
  <c r="P637" i="7"/>
  <c r="M324" i="7"/>
  <c r="P324" i="7"/>
  <c r="P516" i="7"/>
  <c r="M326" i="7"/>
  <c r="P326" i="7"/>
  <c r="M443" i="7"/>
  <c r="P443" i="7"/>
  <c r="M277" i="7"/>
  <c r="P277" i="7"/>
  <c r="M486" i="7"/>
  <c r="P486" i="7"/>
  <c r="M286" i="7"/>
  <c r="P286" i="7"/>
  <c r="M505" i="7"/>
  <c r="P505" i="7"/>
  <c r="M212" i="7"/>
  <c r="P212" i="7"/>
  <c r="M592" i="7"/>
  <c r="M604" i="7"/>
  <c r="P604" i="7"/>
  <c r="M472" i="7"/>
  <c r="P472" i="7"/>
  <c r="M270" i="7"/>
  <c r="P270" i="7"/>
  <c r="M602" i="7"/>
  <c r="P602" i="7"/>
  <c r="P309" i="7"/>
  <c r="M428" i="7"/>
  <c r="P428" i="7"/>
  <c r="M619" i="7"/>
  <c r="P619" i="7"/>
  <c r="M517" i="7"/>
  <c r="P517" i="7"/>
  <c r="M391" i="7"/>
  <c r="P391" i="7"/>
  <c r="M598" i="7"/>
  <c r="P598" i="7"/>
  <c r="M305" i="7"/>
  <c r="P305" i="7"/>
  <c r="M202" i="7"/>
  <c r="P202" i="7"/>
  <c r="M608" i="7"/>
  <c r="P608" i="7"/>
  <c r="M378" i="7"/>
  <c r="P378" i="7"/>
  <c r="P263" i="7"/>
  <c r="M198" i="7"/>
  <c r="P198" i="7"/>
  <c r="M488" i="7"/>
  <c r="P488" i="7"/>
  <c r="M456" i="7"/>
  <c r="P456" i="7"/>
  <c r="M333" i="7"/>
  <c r="P333" i="7"/>
  <c r="M234" i="7"/>
  <c r="P234" i="7"/>
  <c r="R632" i="7"/>
  <c r="S632" i="7" s="1"/>
  <c r="T632" i="7" s="1"/>
  <c r="R629" i="7"/>
  <c r="R610" i="7"/>
  <c r="S610" i="7" s="1"/>
  <c r="T610" i="7" s="1"/>
  <c r="R590" i="7"/>
  <c r="T590" i="7" s="1"/>
  <c r="R570" i="7"/>
  <c r="R550" i="7"/>
  <c r="R531" i="7"/>
  <c r="R510" i="7"/>
  <c r="S510" i="7" s="1"/>
  <c r="T510" i="7" s="1"/>
  <c r="R490" i="7"/>
  <c r="S490" i="7" s="1"/>
  <c r="T490" i="7" s="1"/>
  <c r="R470" i="7"/>
  <c r="S470" i="7" s="1"/>
  <c r="T470" i="7" s="1"/>
  <c r="R450" i="7"/>
  <c r="S450" i="7" s="1"/>
  <c r="T450" i="7" s="1"/>
  <c r="R430" i="7"/>
  <c r="S430" i="7" s="1"/>
  <c r="T430" i="7" s="1"/>
  <c r="R410" i="7"/>
  <c r="S410" i="7" s="1"/>
  <c r="T410" i="7" s="1"/>
  <c r="R390" i="7"/>
  <c r="S390" i="7" s="1"/>
  <c r="T390" i="7" s="1"/>
  <c r="R370" i="7"/>
  <c r="S370" i="7" s="1"/>
  <c r="T370" i="7" s="1"/>
  <c r="R350" i="7"/>
  <c r="S350" i="7" s="1"/>
  <c r="T350" i="7" s="1"/>
  <c r="R330" i="7"/>
  <c r="S330" i="7" s="1"/>
  <c r="T330" i="7" s="1"/>
  <c r="R310" i="7"/>
  <c r="S310" i="7" s="1"/>
  <c r="T310" i="7" s="1"/>
  <c r="R290" i="7"/>
  <c r="S290" i="7" s="1"/>
  <c r="T290" i="7" s="1"/>
  <c r="R270" i="7"/>
  <c r="S270" i="7" s="1"/>
  <c r="T270" i="7" s="1"/>
  <c r="R250" i="7"/>
  <c r="S250" i="7" s="1"/>
  <c r="T250" i="7" s="1"/>
  <c r="R230" i="7"/>
  <c r="S230" i="7" s="1"/>
  <c r="T230" i="7" s="1"/>
  <c r="R210" i="7"/>
  <c r="S210" i="7" s="1"/>
  <c r="T210" i="7" s="1"/>
  <c r="R190" i="7"/>
  <c r="S190" i="7" s="1"/>
  <c r="T190" i="7" s="1"/>
  <c r="R170" i="7"/>
  <c r="S170" i="7" s="1"/>
  <c r="T170" i="7" s="1"/>
  <c r="R150" i="7"/>
  <c r="S150" i="7" s="1"/>
  <c r="T150" i="7" s="1"/>
  <c r="R130" i="7"/>
  <c r="S130" i="7" s="1"/>
  <c r="T130" i="7" s="1"/>
  <c r="R110" i="7"/>
  <c r="S110" i="7" s="1"/>
  <c r="T110" i="7" s="1"/>
  <c r="R90" i="7"/>
  <c r="T90" i="7" s="1"/>
  <c r="R70" i="7"/>
  <c r="S70" i="7" s="1"/>
  <c r="T70" i="7" s="1"/>
  <c r="R50" i="7"/>
  <c r="S50" i="7" s="1"/>
  <c r="T50" i="7" s="1"/>
  <c r="R30" i="7"/>
  <c r="S30" i="7" s="1"/>
  <c r="T30" i="7" s="1"/>
  <c r="R633" i="7"/>
  <c r="R631" i="7"/>
  <c r="R630" i="7"/>
  <c r="R628" i="7"/>
  <c r="R627" i="7"/>
  <c r="R612" i="7"/>
  <c r="S612" i="7" s="1"/>
  <c r="T612" i="7" s="1"/>
  <c r="R592" i="7"/>
  <c r="R572" i="7"/>
  <c r="R552" i="7"/>
  <c r="R532" i="7"/>
  <c r="R492" i="7"/>
  <c r="S492" i="7" s="1"/>
  <c r="T492" i="7" s="1"/>
  <c r="R472" i="7"/>
  <c r="S472" i="7" s="1"/>
  <c r="T472" i="7" s="1"/>
  <c r="R332" i="7"/>
  <c r="S332" i="7" s="1"/>
  <c r="T332" i="7" s="1"/>
  <c r="R312" i="7"/>
  <c r="S312" i="7" s="1"/>
  <c r="T312" i="7" s="1"/>
  <c r="R292" i="7"/>
  <c r="S292" i="7" s="1"/>
  <c r="T292" i="7" s="1"/>
  <c r="R272" i="7"/>
  <c r="S272" i="7" s="1"/>
  <c r="T272" i="7" s="1"/>
  <c r="R252" i="7"/>
  <c r="S252" i="7" s="1"/>
  <c r="T252" i="7" s="1"/>
  <c r="R9" i="7"/>
  <c r="S9" i="7" s="1"/>
  <c r="T9" i="7" s="1"/>
  <c r="R232" i="7"/>
  <c r="S232" i="7" s="1"/>
  <c r="T232" i="7" s="1"/>
  <c r="R212" i="7"/>
  <c r="T212" i="7" s="1"/>
  <c r="R192" i="7"/>
  <c r="S192" i="7" s="1"/>
  <c r="T192" i="7" s="1"/>
  <c r="R172" i="7"/>
  <c r="S172" i="7" s="1"/>
  <c r="T172" i="7" s="1"/>
  <c r="R152" i="7"/>
  <c r="S152" i="7" s="1"/>
  <c r="T152" i="7" s="1"/>
  <c r="R132" i="7"/>
  <c r="S132" i="7" s="1"/>
  <c r="T132" i="7" s="1"/>
  <c r="R112" i="7"/>
  <c r="S112" i="7" s="1"/>
  <c r="R92" i="7"/>
  <c r="S92" i="7" s="1"/>
  <c r="T92" i="7" s="1"/>
  <c r="S635" i="7"/>
  <c r="T635" i="7" s="1"/>
  <c r="M639" i="7"/>
  <c r="R72" i="7"/>
  <c r="R31" i="7"/>
  <c r="S31" i="7" s="1"/>
  <c r="T31" i="7" s="1"/>
  <c r="R11" i="7"/>
  <c r="S11" i="7" s="1"/>
  <c r="T11" i="7" s="1"/>
  <c r="R52" i="7"/>
  <c r="S52" i="7" s="1"/>
  <c r="T52" i="7" s="1"/>
  <c r="R32" i="7"/>
  <c r="T32" i="7" s="1"/>
  <c r="R12" i="7"/>
  <c r="S12" i="7" s="1"/>
  <c r="T12" i="7" s="1"/>
  <c r="S10" i="7"/>
  <c r="T10" i="7" s="1"/>
  <c r="R615" i="7"/>
  <c r="R595" i="7"/>
  <c r="R575" i="7"/>
  <c r="R555" i="7"/>
  <c r="R535" i="7"/>
  <c r="R475" i="7"/>
  <c r="R455" i="7"/>
  <c r="R435" i="7"/>
  <c r="R415" i="7"/>
  <c r="R395" i="7"/>
  <c r="R375" i="7"/>
  <c r="R355" i="7"/>
  <c r="R334" i="7"/>
  <c r="R315" i="7"/>
  <c r="R295" i="7"/>
  <c r="R275" i="7"/>
  <c r="R255" i="7"/>
  <c r="R235" i="7"/>
  <c r="R215" i="7"/>
  <c r="R195" i="7"/>
  <c r="R175" i="7"/>
  <c r="R155" i="7"/>
  <c r="R135" i="7"/>
  <c r="R115" i="7"/>
  <c r="R95" i="7"/>
  <c r="R75" i="7"/>
  <c r="R56" i="7"/>
  <c r="M206" i="7"/>
  <c r="R614" i="7"/>
  <c r="R594" i="7"/>
  <c r="R574" i="7"/>
  <c r="R34" i="7"/>
  <c r="R14" i="7"/>
  <c r="R613" i="7"/>
  <c r="R593" i="7"/>
  <c r="R573" i="7"/>
  <c r="R553" i="7"/>
  <c r="R533" i="7"/>
  <c r="R513" i="7"/>
  <c r="R413" i="7"/>
  <c r="R393" i="7"/>
  <c r="R373" i="7"/>
  <c r="R353" i="7"/>
  <c r="R333" i="7"/>
  <c r="R313" i="7"/>
  <c r="R293" i="7"/>
  <c r="R273" i="7"/>
  <c r="R253" i="7"/>
  <c r="R233" i="7"/>
  <c r="R213" i="7"/>
  <c r="R193" i="7"/>
  <c r="R173" i="7"/>
  <c r="R153" i="7"/>
  <c r="R133" i="7"/>
  <c r="R113" i="7"/>
  <c r="R93" i="7"/>
  <c r="R73" i="7"/>
  <c r="R33" i="7"/>
  <c r="R13" i="7"/>
  <c r="R28" i="7"/>
  <c r="R35" i="7"/>
  <c r="R554" i="7"/>
  <c r="R534" i="7"/>
  <c r="R494" i="7"/>
  <c r="R474" i="7"/>
  <c r="R454" i="7"/>
  <c r="R434" i="7"/>
  <c r="R414" i="7"/>
  <c r="R452" i="7"/>
  <c r="R551" i="7"/>
  <c r="R530" i="7"/>
  <c r="R511" i="7"/>
  <c r="R491" i="7"/>
  <c r="R471" i="7"/>
  <c r="R411" i="7"/>
  <c r="R391" i="7"/>
  <c r="R166" i="7"/>
  <c r="R619" i="7"/>
  <c r="R599" i="7"/>
  <c r="R579" i="7"/>
  <c r="R559" i="7"/>
  <c r="R539" i="7"/>
  <c r="R519" i="7"/>
  <c r="R499" i="7"/>
  <c r="R479" i="7"/>
  <c r="R459" i="7"/>
  <c r="R439" i="7"/>
  <c r="R419" i="7"/>
  <c r="R399" i="7"/>
  <c r="R379" i="7"/>
  <c r="R359" i="7"/>
  <c r="R339" i="7"/>
  <c r="R319" i="7"/>
  <c r="R299" i="7"/>
  <c r="R279" i="7"/>
  <c r="R259" i="7"/>
  <c r="R239" i="7"/>
  <c r="R219" i="7"/>
  <c r="R199" i="7"/>
  <c r="R179" i="7"/>
  <c r="R159" i="7"/>
  <c r="R139" i="7"/>
  <c r="R119" i="7"/>
  <c r="R99" i="7"/>
  <c r="R79" i="7"/>
  <c r="R59" i="7"/>
  <c r="R39" i="7"/>
  <c r="R19" i="7"/>
  <c r="R616" i="7"/>
  <c r="R596" i="7"/>
  <c r="R556" i="7"/>
  <c r="R536" i="7"/>
  <c r="R515" i="7"/>
  <c r="R496" i="7"/>
  <c r="R476" i="7"/>
  <c r="R456" i="7"/>
  <c r="R436" i="7"/>
  <c r="R416" i="7"/>
  <c r="R396" i="7"/>
  <c r="R376" i="7"/>
  <c r="R356" i="7"/>
  <c r="R336" i="7"/>
  <c r="R316" i="7"/>
  <c r="R296" i="7"/>
  <c r="R276" i="7"/>
  <c r="R256" i="7"/>
  <c r="R236" i="7"/>
  <c r="R216" i="7"/>
  <c r="R196" i="7"/>
  <c r="R15" i="7"/>
  <c r="R394" i="7"/>
  <c r="R374" i="7"/>
  <c r="R354" i="7"/>
  <c r="R335" i="7"/>
  <c r="R493" i="7"/>
  <c r="R512" i="7"/>
  <c r="R432" i="7"/>
  <c r="R412" i="7"/>
  <c r="R431" i="7"/>
  <c r="R371" i="7"/>
  <c r="R351" i="7"/>
  <c r="R331" i="7"/>
  <c r="R311" i="7"/>
  <c r="R291" i="7"/>
  <c r="R29" i="7"/>
  <c r="R27" i="7"/>
  <c r="R589" i="7"/>
  <c r="R489" i="7"/>
  <c r="R369" i="7"/>
  <c r="R269" i="7"/>
  <c r="R189" i="7"/>
  <c r="R49" i="7"/>
  <c r="R568" i="7"/>
  <c r="R448" i="7"/>
  <c r="R348" i="7"/>
  <c r="R268" i="7"/>
  <c r="R208" i="7"/>
  <c r="R68" i="7"/>
  <c r="R607" i="7"/>
  <c r="R547" i="7"/>
  <c r="R447" i="7"/>
  <c r="R347" i="7"/>
  <c r="R227" i="7"/>
  <c r="R107" i="7"/>
  <c r="R569" i="7"/>
  <c r="R509" i="7"/>
  <c r="R429" i="7"/>
  <c r="R329" i="7"/>
  <c r="R249" i="7"/>
  <c r="R169" i="7"/>
  <c r="R89" i="7"/>
  <c r="R528" i="7"/>
  <c r="R468" i="7"/>
  <c r="R388" i="7"/>
  <c r="R308" i="7"/>
  <c r="R228" i="7"/>
  <c r="R48" i="7"/>
  <c r="R527" i="7"/>
  <c r="R467" i="7"/>
  <c r="R367" i="7"/>
  <c r="R287" i="7"/>
  <c r="R187" i="7"/>
  <c r="R66" i="7"/>
  <c r="R549" i="7"/>
  <c r="R469" i="7"/>
  <c r="R389" i="7"/>
  <c r="R309" i="7"/>
  <c r="R209" i="7"/>
  <c r="R69" i="7"/>
  <c r="R608" i="7"/>
  <c r="R548" i="7"/>
  <c r="R488" i="7"/>
  <c r="R408" i="7"/>
  <c r="R328" i="7"/>
  <c r="R248" i="7"/>
  <c r="R188" i="7"/>
  <c r="R88" i="7"/>
  <c r="R567" i="7"/>
  <c r="R507" i="7"/>
  <c r="R427" i="7"/>
  <c r="R387" i="7"/>
  <c r="R327" i="7"/>
  <c r="R307" i="7"/>
  <c r="R247" i="7"/>
  <c r="R207" i="7"/>
  <c r="R87" i="7"/>
  <c r="R409" i="7"/>
  <c r="R168" i="7"/>
  <c r="R167" i="7"/>
  <c r="R129" i="7"/>
  <c r="R128" i="7"/>
  <c r="R127" i="7"/>
  <c r="R148" i="7"/>
  <c r="R147" i="7"/>
  <c r="R609" i="7"/>
  <c r="R529" i="7"/>
  <c r="R449" i="7"/>
  <c r="R349" i="7"/>
  <c r="R289" i="7"/>
  <c r="R229" i="7"/>
  <c r="R149" i="7"/>
  <c r="R109" i="7"/>
  <c r="R588" i="7"/>
  <c r="R508" i="7"/>
  <c r="R428" i="7"/>
  <c r="R368" i="7"/>
  <c r="R288" i="7"/>
  <c r="R108" i="7"/>
  <c r="R587" i="7"/>
  <c r="R487" i="7"/>
  <c r="R407" i="7"/>
  <c r="R267" i="7"/>
  <c r="R47" i="7"/>
  <c r="R546" i="7"/>
  <c r="R386" i="7"/>
  <c r="R246" i="7"/>
  <c r="R46" i="7"/>
  <c r="R564" i="7"/>
  <c r="R485" i="7"/>
  <c r="R425" i="7"/>
  <c r="R345" i="7"/>
  <c r="R285" i="7"/>
  <c r="R165" i="7"/>
  <c r="R85" i="7"/>
  <c r="R504" i="7"/>
  <c r="R325" i="7"/>
  <c r="R64" i="7"/>
  <c r="R623" i="7"/>
  <c r="R423" i="7"/>
  <c r="R283" i="7"/>
  <c r="R163" i="7"/>
  <c r="R502" i="7"/>
  <c r="R322" i="7"/>
  <c r="R142" i="7"/>
  <c r="R621" i="7"/>
  <c r="R600" i="7"/>
  <c r="R581" i="7"/>
  <c r="R561" i="7"/>
  <c r="R541" i="7"/>
  <c r="R521" i="7"/>
  <c r="R500" i="7"/>
  <c r="R481" i="7"/>
  <c r="R461" i="7"/>
  <c r="R441" i="7"/>
  <c r="R421" i="7"/>
  <c r="R401" i="7"/>
  <c r="R381" i="7"/>
  <c r="R360" i="7"/>
  <c r="R341" i="7"/>
  <c r="R321" i="7"/>
  <c r="R301" i="7"/>
  <c r="R281" i="7"/>
  <c r="R261" i="7"/>
  <c r="R241" i="7"/>
  <c r="R221" i="7"/>
  <c r="R201" i="7"/>
  <c r="R181" i="7"/>
  <c r="R161" i="7"/>
  <c r="R141" i="7"/>
  <c r="R121" i="7"/>
  <c r="R101" i="7"/>
  <c r="R81" i="7"/>
  <c r="R61" i="7"/>
  <c r="R41" i="7"/>
  <c r="R21" i="7"/>
  <c r="R620" i="7"/>
  <c r="R601" i="7"/>
  <c r="R580" i="7"/>
  <c r="R560" i="7"/>
  <c r="R540" i="7"/>
  <c r="R520" i="7"/>
  <c r="R501" i="7"/>
  <c r="R480" i="7"/>
  <c r="R460" i="7"/>
  <c r="R440" i="7"/>
  <c r="R420" i="7"/>
  <c r="R400" i="7"/>
  <c r="R380" i="7"/>
  <c r="R361" i="7"/>
  <c r="R340" i="7"/>
  <c r="R320" i="7"/>
  <c r="R300" i="7"/>
  <c r="R280" i="7"/>
  <c r="R260" i="7"/>
  <c r="R240" i="7"/>
  <c r="R220" i="7"/>
  <c r="R200" i="7"/>
  <c r="R180" i="7"/>
  <c r="R160" i="7"/>
  <c r="R140" i="7"/>
  <c r="R120" i="7"/>
  <c r="R100" i="7"/>
  <c r="R80" i="7"/>
  <c r="R60" i="7"/>
  <c r="R40" i="7"/>
  <c r="R20" i="7"/>
  <c r="R606" i="7"/>
  <c r="R506" i="7"/>
  <c r="R406" i="7"/>
  <c r="R326" i="7"/>
  <c r="R206" i="7"/>
  <c r="R126" i="7"/>
  <c r="R625" i="7"/>
  <c r="R505" i="7"/>
  <c r="R385" i="7"/>
  <c r="R225" i="7"/>
  <c r="R45" i="7"/>
  <c r="R624" i="7"/>
  <c r="R464" i="7"/>
  <c r="R263" i="7"/>
  <c r="R24" i="7"/>
  <c r="R602" i="7"/>
  <c r="R403" i="7"/>
  <c r="R223" i="7"/>
  <c r="R103" i="7"/>
  <c r="R622" i="7"/>
  <c r="R482" i="7"/>
  <c r="R342" i="7"/>
  <c r="R162" i="7"/>
  <c r="R558" i="7"/>
  <c r="R378" i="7"/>
  <c r="R18" i="7"/>
  <c r="R617" i="7"/>
  <c r="R597" i="7"/>
  <c r="R577" i="7"/>
  <c r="R557" i="7"/>
  <c r="R538" i="7"/>
  <c r="R517" i="7"/>
  <c r="R497" i="7"/>
  <c r="R477" i="7"/>
  <c r="R457" i="7"/>
  <c r="R437" i="7"/>
  <c r="R417" i="7"/>
  <c r="R397" i="7"/>
  <c r="R377" i="7"/>
  <c r="R357" i="7"/>
  <c r="R338" i="7"/>
  <c r="R317" i="7"/>
  <c r="R297" i="7"/>
  <c r="R277" i="7"/>
  <c r="R257" i="7"/>
  <c r="R237" i="7"/>
  <c r="R217" i="7"/>
  <c r="R197" i="7"/>
  <c r="R177" i="7"/>
  <c r="R157" i="7"/>
  <c r="R137" i="7"/>
  <c r="R117" i="7"/>
  <c r="R97" i="7"/>
  <c r="R77" i="7"/>
  <c r="R57" i="7"/>
  <c r="R37" i="7"/>
  <c r="R17" i="7"/>
  <c r="R566" i="7"/>
  <c r="R426" i="7"/>
  <c r="R286" i="7"/>
  <c r="R86" i="7"/>
  <c r="R585" i="7"/>
  <c r="R445" i="7"/>
  <c r="R305" i="7"/>
  <c r="R186" i="7"/>
  <c r="R125" i="7"/>
  <c r="R584" i="7"/>
  <c r="R444" i="7"/>
  <c r="R304" i="7"/>
  <c r="R184" i="7"/>
  <c r="R144" i="7"/>
  <c r="R583" i="7"/>
  <c r="R463" i="7"/>
  <c r="R323" i="7"/>
  <c r="R63" i="7"/>
  <c r="R522" i="7"/>
  <c r="R362" i="7"/>
  <c r="R202" i="7"/>
  <c r="R102" i="7"/>
  <c r="R598" i="7"/>
  <c r="R458" i="7"/>
  <c r="R318" i="7"/>
  <c r="R38" i="7"/>
  <c r="R576" i="7"/>
  <c r="R176" i="7"/>
  <c r="R156" i="7"/>
  <c r="R136" i="7"/>
  <c r="R116" i="7"/>
  <c r="R96" i="7"/>
  <c r="R76" i="7"/>
  <c r="R55" i="7"/>
  <c r="R36" i="7"/>
  <c r="R16" i="7"/>
  <c r="R586" i="7"/>
  <c r="R446" i="7"/>
  <c r="R266" i="7"/>
  <c r="R67" i="7"/>
  <c r="R545" i="7"/>
  <c r="R365" i="7"/>
  <c r="R205" i="7"/>
  <c r="R65" i="7"/>
  <c r="R565" i="7"/>
  <c r="R364" i="7"/>
  <c r="R204" i="7"/>
  <c r="R84" i="7"/>
  <c r="R483" i="7"/>
  <c r="R303" i="7"/>
  <c r="R23" i="7"/>
  <c r="R542" i="7"/>
  <c r="R402" i="7"/>
  <c r="R242" i="7"/>
  <c r="R42" i="7"/>
  <c r="R618" i="7"/>
  <c r="R478" i="7"/>
  <c r="R298" i="7"/>
  <c r="R58" i="7"/>
  <c r="R516" i="7"/>
  <c r="R495" i="7"/>
  <c r="R526" i="7"/>
  <c r="R466" i="7"/>
  <c r="R346" i="7"/>
  <c r="R226" i="7"/>
  <c r="R106" i="7"/>
  <c r="R525" i="7"/>
  <c r="R405" i="7"/>
  <c r="R265" i="7"/>
  <c r="R25" i="7"/>
  <c r="R605" i="7"/>
  <c r="R384" i="7"/>
  <c r="R44" i="7"/>
  <c r="R563" i="7"/>
  <c r="R503" i="7"/>
  <c r="R383" i="7"/>
  <c r="R243" i="7"/>
  <c r="R123" i="7"/>
  <c r="R462" i="7"/>
  <c r="R302" i="7"/>
  <c r="R182" i="7"/>
  <c r="R122" i="7"/>
  <c r="R537" i="7"/>
  <c r="R418" i="7"/>
  <c r="R238" i="7"/>
  <c r="R138" i="7"/>
  <c r="R514" i="7"/>
  <c r="R314" i="7"/>
  <c r="R294" i="7"/>
  <c r="R274" i="7"/>
  <c r="R254" i="7"/>
  <c r="R234" i="7"/>
  <c r="R214" i="7"/>
  <c r="R194" i="7"/>
  <c r="R174" i="7"/>
  <c r="R154" i="7"/>
  <c r="R134" i="7"/>
  <c r="R114" i="7"/>
  <c r="R94" i="7"/>
  <c r="R74" i="7"/>
  <c r="R54" i="7"/>
  <c r="R626" i="7"/>
  <c r="R486" i="7"/>
  <c r="R366" i="7"/>
  <c r="R306" i="7"/>
  <c r="R185" i="7"/>
  <c r="R146" i="7"/>
  <c r="R604" i="7"/>
  <c r="R465" i="7"/>
  <c r="R324" i="7"/>
  <c r="R245" i="7"/>
  <c r="R145" i="7"/>
  <c r="R105" i="7"/>
  <c r="R524" i="7"/>
  <c r="R424" i="7"/>
  <c r="R284" i="7"/>
  <c r="R104" i="7"/>
  <c r="R543" i="7"/>
  <c r="R363" i="7"/>
  <c r="R183" i="7"/>
  <c r="R43" i="7"/>
  <c r="R603" i="7"/>
  <c r="R442" i="7"/>
  <c r="R282" i="7"/>
  <c r="R22" i="7"/>
  <c r="R7" i="7"/>
  <c r="R8" i="7"/>
  <c r="R518" i="7"/>
  <c r="R398" i="7"/>
  <c r="R258" i="7"/>
  <c r="R118" i="7"/>
  <c r="R473" i="7"/>
  <c r="R453" i="7"/>
  <c r="R433" i="7"/>
  <c r="R53" i="7"/>
  <c r="R26" i="7"/>
  <c r="R484" i="7"/>
  <c r="R344" i="7"/>
  <c r="R224" i="7"/>
  <c r="R164" i="7"/>
  <c r="R523" i="7"/>
  <c r="R343" i="7"/>
  <c r="R203" i="7"/>
  <c r="R143" i="7"/>
  <c r="R582" i="7"/>
  <c r="R422" i="7"/>
  <c r="R262" i="7"/>
  <c r="R62" i="7"/>
  <c r="R498" i="7"/>
  <c r="R337" i="7"/>
  <c r="R98" i="7"/>
  <c r="R392" i="7"/>
  <c r="R372" i="7"/>
  <c r="R352" i="7"/>
  <c r="R544" i="7"/>
  <c r="R404" i="7"/>
  <c r="R244" i="7"/>
  <c r="R124" i="7"/>
  <c r="R443" i="7"/>
  <c r="R264" i="7"/>
  <c r="R82" i="7"/>
  <c r="R562" i="7"/>
  <c r="R382" i="7"/>
  <c r="R222" i="7"/>
  <c r="R83" i="7"/>
  <c r="R578" i="7"/>
  <c r="R438" i="7"/>
  <c r="R358" i="7"/>
  <c r="R278" i="7"/>
  <c r="R218" i="7"/>
  <c r="R198" i="7"/>
  <c r="R178" i="7"/>
  <c r="R158" i="7"/>
  <c r="R78" i="7"/>
  <c r="R611" i="7"/>
  <c r="R591" i="7"/>
  <c r="R571" i="7"/>
  <c r="R451" i="7"/>
  <c r="R271" i="7"/>
  <c r="R251" i="7"/>
  <c r="R231" i="7"/>
  <c r="R211" i="7"/>
  <c r="R191" i="7"/>
  <c r="R171" i="7"/>
  <c r="R151" i="7"/>
  <c r="R131" i="7"/>
  <c r="R111" i="7"/>
  <c r="R91" i="7"/>
  <c r="R71" i="7"/>
  <c r="R51" i="7"/>
  <c r="M402" i="7"/>
  <c r="M312" i="7"/>
  <c r="M175" i="7"/>
  <c r="P112" i="7"/>
  <c r="P113" i="7"/>
  <c r="P156" i="7"/>
  <c r="M424" i="7"/>
  <c r="M166" i="7"/>
  <c r="M450" i="7"/>
  <c r="M154" i="7"/>
  <c r="M374" i="7"/>
  <c r="M196" i="7"/>
  <c r="M289" i="7"/>
  <c r="M257" i="7"/>
  <c r="M399" i="7"/>
  <c r="M331" i="7"/>
  <c r="M329" i="7"/>
  <c r="M393" i="7"/>
  <c r="M228" i="7"/>
  <c r="M398" i="7"/>
  <c r="M627" i="7"/>
  <c r="M508" i="7"/>
  <c r="M425" i="7"/>
  <c r="M328" i="7"/>
  <c r="M221" i="7"/>
  <c r="M493" i="7"/>
  <c r="M282" i="7"/>
  <c r="M426" i="7"/>
  <c r="M189" i="7"/>
  <c r="M394" i="7"/>
  <c r="M349" i="7"/>
  <c r="M317" i="7"/>
  <c r="M437" i="7"/>
  <c r="M315" i="7"/>
  <c r="M272" i="7"/>
  <c r="M258" i="7"/>
  <c r="P43" i="7"/>
  <c r="M307" i="7"/>
  <c r="M213" i="7"/>
  <c r="M112" i="7"/>
  <c r="M147" i="7"/>
  <c r="P95" i="7"/>
  <c r="M375" i="7"/>
  <c r="M276" i="7"/>
  <c r="M46" i="7"/>
  <c r="M16" i="7"/>
  <c r="M336" i="7"/>
  <c r="M395" i="7"/>
  <c r="P110" i="7"/>
  <c r="P109" i="7"/>
  <c r="M360" i="7"/>
  <c r="M141" i="7"/>
  <c r="M100" i="7"/>
  <c r="M364" i="7"/>
  <c r="P64" i="7"/>
  <c r="M57" i="7"/>
  <c r="P39" i="7"/>
  <c r="M511" i="7"/>
  <c r="M453" i="7"/>
  <c r="M194" i="7"/>
  <c r="P182" i="7"/>
  <c r="M236" i="7"/>
  <c r="M341" i="7"/>
  <c r="M222" i="7"/>
  <c r="P38" i="7"/>
  <c r="M476" i="7"/>
  <c r="M192" i="7"/>
  <c r="M87" i="7"/>
  <c r="M340" i="7"/>
  <c r="M468" i="7"/>
  <c r="M303" i="7"/>
  <c r="M65" i="7"/>
  <c r="M454" i="7"/>
  <c r="M350" i="7"/>
  <c r="P161" i="7"/>
  <c r="M182" i="7"/>
  <c r="M84" i="7"/>
  <c r="M45" i="7"/>
  <c r="M429" i="7"/>
  <c r="M181" i="7"/>
  <c r="M269" i="7"/>
  <c r="M499" i="7"/>
  <c r="M474" i="7"/>
  <c r="M447" i="7"/>
  <c r="P83" i="7"/>
  <c r="P170" i="7"/>
  <c r="M416" i="7"/>
  <c r="M204" i="7"/>
  <c r="M498" i="7"/>
  <c r="M494" i="7"/>
  <c r="M114" i="7"/>
  <c r="M376" i="7"/>
  <c r="M110" i="7"/>
  <c r="P77" i="7"/>
  <c r="M128" i="7"/>
  <c r="M304" i="7"/>
  <c r="M109" i="7"/>
  <c r="P119" i="7"/>
  <c r="P134" i="7"/>
  <c r="P176" i="7"/>
  <c r="P129" i="7"/>
  <c r="M417" i="7"/>
  <c r="M387" i="7"/>
  <c r="M191" i="7"/>
  <c r="M15" i="7"/>
  <c r="M434" i="7"/>
  <c r="M408" i="7"/>
  <c r="M344" i="7"/>
  <c r="M293" i="7"/>
  <c r="M132" i="7"/>
  <c r="P29" i="7"/>
  <c r="P91" i="7"/>
  <c r="P152" i="7"/>
  <c r="M449" i="7"/>
  <c r="M41" i="7"/>
  <c r="M322" i="7"/>
  <c r="M186" i="7"/>
  <c r="P158" i="7"/>
  <c r="P168" i="7"/>
  <c r="M406" i="7"/>
  <c r="M371" i="7"/>
  <c r="M343" i="7"/>
  <c r="P164" i="7"/>
  <c r="M131" i="7"/>
  <c r="P126" i="7"/>
  <c r="M89" i="7"/>
  <c r="P13" i="7"/>
  <c r="M290" i="7"/>
  <c r="M19" i="7"/>
  <c r="P172" i="7"/>
  <c r="M220" i="7"/>
  <c r="M458" i="7"/>
  <c r="M368" i="7"/>
  <c r="M319" i="7"/>
  <c r="M183" i="7"/>
  <c r="P130" i="7"/>
  <c r="M502" i="7"/>
  <c r="M291" i="7"/>
  <c r="M265" i="7"/>
  <c r="M245" i="7"/>
  <c r="M481" i="7"/>
  <c r="M383" i="7"/>
  <c r="M281" i="7"/>
  <c r="M168" i="7"/>
  <c r="M140" i="7"/>
  <c r="M113" i="7"/>
  <c r="M62" i="7"/>
  <c r="M496" i="7"/>
  <c r="M404" i="7"/>
  <c r="M275" i="7"/>
  <c r="M229" i="7"/>
  <c r="M205" i="7"/>
  <c r="M134" i="7"/>
  <c r="M78" i="7"/>
  <c r="P135" i="7"/>
  <c r="M631" i="7"/>
  <c r="M479" i="7"/>
  <c r="M448" i="7"/>
  <c r="M366" i="7"/>
  <c r="M130" i="7"/>
  <c r="P74" i="7"/>
  <c r="P187" i="7"/>
  <c r="M396" i="7"/>
  <c r="M156" i="7"/>
  <c r="M71" i="7"/>
  <c r="P37" i="7"/>
  <c r="P35" i="7"/>
  <c r="M507" i="7"/>
  <c r="M386" i="7"/>
  <c r="P136" i="7"/>
  <c r="M28" i="7"/>
  <c r="M463" i="7"/>
  <c r="M363" i="7"/>
  <c r="M252" i="7"/>
  <c r="M64" i="7"/>
  <c r="M29" i="7"/>
  <c r="P107" i="7"/>
  <c r="P59" i="7"/>
  <c r="M506" i="7"/>
  <c r="M409" i="7"/>
  <c r="M155" i="7"/>
  <c r="P133" i="7"/>
  <c r="M76" i="7"/>
  <c r="P14" i="7"/>
  <c r="M482" i="7"/>
  <c r="M389" i="7"/>
  <c r="M361" i="7"/>
  <c r="M338" i="7"/>
  <c r="M283" i="7"/>
  <c r="P121" i="7"/>
  <c r="M470" i="7"/>
  <c r="M127" i="7"/>
  <c r="M460" i="7"/>
  <c r="M410" i="7"/>
  <c r="P142" i="7"/>
  <c r="M86" i="7"/>
  <c r="P63" i="7"/>
  <c r="M24" i="7"/>
  <c r="M516" i="7"/>
  <c r="M491" i="7"/>
  <c r="M381" i="7"/>
  <c r="M351" i="7"/>
  <c r="M217" i="7"/>
  <c r="P33" i="7"/>
  <c r="P90" i="7"/>
  <c r="P184" i="7"/>
  <c r="M271" i="7"/>
  <c r="M177" i="7"/>
  <c r="P54" i="7"/>
  <c r="M30" i="7"/>
  <c r="P125" i="7"/>
  <c r="P56" i="7"/>
  <c r="P98" i="7"/>
  <c r="P55" i="7"/>
  <c r="M380" i="7"/>
  <c r="M355" i="7"/>
  <c r="M210" i="7"/>
  <c r="M72" i="7"/>
  <c r="M52" i="7"/>
  <c r="P68" i="7"/>
  <c r="P180" i="7"/>
  <c r="P123" i="7"/>
  <c r="P93" i="7"/>
  <c r="P75" i="7"/>
  <c r="P53" i="7"/>
  <c r="P26" i="7"/>
  <c r="P137" i="7"/>
  <c r="P169" i="7"/>
  <c r="M617" i="7"/>
  <c r="M433" i="7"/>
  <c r="M253" i="7"/>
  <c r="M145" i="7"/>
  <c r="M118" i="7"/>
  <c r="M99" i="7"/>
  <c r="M8" i="7"/>
  <c r="M239" i="7"/>
  <c r="P67" i="7"/>
  <c r="P32" i="7"/>
  <c r="P73" i="7"/>
  <c r="P178" i="7"/>
  <c r="P162" i="7"/>
  <c r="P138" i="7"/>
  <c r="P92" i="7"/>
  <c r="M451" i="7"/>
  <c r="M430" i="7"/>
  <c r="M199" i="7"/>
  <c r="P85" i="7"/>
  <c r="P21" i="7"/>
  <c r="M441" i="7"/>
  <c r="M308" i="7"/>
  <c r="M249" i="7"/>
  <c r="P148" i="7"/>
  <c r="M102" i="7"/>
  <c r="M223" i="7"/>
  <c r="M150" i="7"/>
  <c r="M97" i="7"/>
  <c r="P40" i="7"/>
  <c r="P22" i="7"/>
  <c r="P88" i="7"/>
  <c r="P116" i="7"/>
  <c r="M385" i="7"/>
  <c r="M359" i="7"/>
  <c r="M244" i="7"/>
  <c r="M251" i="7"/>
  <c r="P80" i="7"/>
  <c r="P167" i="7"/>
  <c r="P10" i="7"/>
  <c r="M457" i="7"/>
  <c r="M278" i="7"/>
  <c r="M195" i="7"/>
  <c r="M115" i="7"/>
  <c r="M96" i="7"/>
  <c r="P60" i="7"/>
  <c r="P49" i="7"/>
  <c r="M412" i="7"/>
  <c r="M365" i="7"/>
  <c r="P151" i="7"/>
  <c r="P18" i="7"/>
  <c r="M512" i="7"/>
  <c r="M435" i="7"/>
  <c r="M250" i="7"/>
  <c r="M514" i="7"/>
  <c r="M461" i="7"/>
  <c r="M353" i="7"/>
  <c r="M339" i="7"/>
  <c r="M321" i="7"/>
  <c r="M163" i="7"/>
  <c r="M139" i="7"/>
  <c r="M384" i="7"/>
  <c r="M225" i="7"/>
  <c r="P160" i="7"/>
  <c r="P122" i="7"/>
  <c r="M122" i="7"/>
  <c r="M483" i="7"/>
  <c r="P20" i="7"/>
  <c r="M20" i="7"/>
  <c r="M171" i="7"/>
  <c r="P171" i="7"/>
  <c r="M120" i="7"/>
  <c r="P120" i="7"/>
  <c r="M515" i="7"/>
  <c r="M197" i="7"/>
  <c r="P34" i="7"/>
  <c r="M297" i="7"/>
  <c r="P31" i="7"/>
  <c r="M370" i="7"/>
  <c r="M345" i="7"/>
  <c r="M309" i="7"/>
  <c r="M294" i="7"/>
  <c r="M233" i="7"/>
  <c r="P42" i="7"/>
  <c r="M42" i="7"/>
  <c r="M17" i="7"/>
  <c r="P153" i="7"/>
  <c r="P48" i="7"/>
  <c r="M377" i="7"/>
  <c r="M179" i="7"/>
  <c r="P111" i="7"/>
  <c r="M94" i="7"/>
  <c r="P12" i="7"/>
  <c r="P108" i="7"/>
  <c r="P174" i="7"/>
  <c r="P106" i="7"/>
  <c r="M415" i="7"/>
  <c r="M390" i="7"/>
  <c r="M318" i="7"/>
  <c r="M298" i="7"/>
  <c r="M243" i="7"/>
  <c r="M173" i="7"/>
  <c r="M124" i="7"/>
  <c r="M44" i="7"/>
  <c r="P27" i="7"/>
  <c r="P149" i="7"/>
  <c r="P23" i="7"/>
  <c r="P190" i="7"/>
  <c r="P82" i="7"/>
  <c r="P58" i="7"/>
  <c r="P47" i="7"/>
  <c r="M47" i="7"/>
  <c r="M354" i="7"/>
  <c r="M70" i="7"/>
  <c r="M51" i="7"/>
  <c r="P51" i="7"/>
  <c r="M373" i="7"/>
  <c r="P50" i="7"/>
  <c r="M489" i="7"/>
  <c r="M436" i="7"/>
  <c r="M369" i="7"/>
  <c r="M174" i="7"/>
  <c r="M452" i="7"/>
  <c r="P11" i="7"/>
  <c r="M11" i="7"/>
  <c r="M407" i="7"/>
  <c r="M367" i="7"/>
  <c r="M224" i="7"/>
  <c r="M105" i="7"/>
  <c r="P105" i="7"/>
  <c r="P61" i="7"/>
  <c r="M61" i="7"/>
  <c r="P81" i="7"/>
  <c r="M81" i="7"/>
  <c r="M9" i="7"/>
  <c r="P9" i="7"/>
  <c r="P146" i="7"/>
  <c r="M146" i="7"/>
  <c r="M117" i="7"/>
  <c r="P117" i="7"/>
  <c r="M358" i="7"/>
  <c r="P165" i="7"/>
  <c r="M165" i="7"/>
  <c r="M79" i="7"/>
  <c r="M193" i="7"/>
  <c r="P101" i="7"/>
  <c r="P25" i="7"/>
  <c r="M235" i="7"/>
  <c r="M287" i="7"/>
  <c r="M248" i="7"/>
  <c r="M157" i="7"/>
  <c r="P157" i="7"/>
  <c r="M263" i="7"/>
  <c r="P103" i="7"/>
  <c r="M497" i="7"/>
  <c r="M231" i="7"/>
  <c r="M188" i="7"/>
  <c r="P188" i="7"/>
  <c r="P143" i="7"/>
  <c r="P69" i="7"/>
  <c r="P36" i="7"/>
  <c r="P185" i="7"/>
  <c r="P144" i="7"/>
  <c r="P104" i="7"/>
  <c r="P66" i="7"/>
  <c r="P7" i="7"/>
  <c r="M159" i="7"/>
  <c r="M635" i="7"/>
  <c r="M629" i="7"/>
  <c r="M609" i="7"/>
  <c r="M621" i="7"/>
  <c r="M614" i="7"/>
  <c r="M613" i="7"/>
  <c r="M615" i="7"/>
  <c r="M625" i="7"/>
  <c r="M623" i="7"/>
  <c r="M622" i="7"/>
  <c r="M620" i="7"/>
  <c r="M593" i="7"/>
  <c r="M599" i="7"/>
  <c r="M596" i="7"/>
  <c r="M597" i="7"/>
  <c r="M601" i="7"/>
  <c r="S634" i="7" l="1"/>
  <c r="T634" i="7" s="1"/>
  <c r="S629" i="7"/>
  <c r="T629" i="7" s="1"/>
  <c r="S590" i="7"/>
  <c r="S90" i="7"/>
  <c r="S212" i="7"/>
  <c r="T112" i="7"/>
  <c r="S72" i="7"/>
  <c r="T72" i="7" s="1"/>
  <c r="S32" i="7"/>
  <c r="T274" i="7"/>
  <c r="S274" i="7"/>
  <c r="S157" i="7"/>
  <c r="T157" i="7" s="1"/>
  <c r="S335" i="7"/>
  <c r="T335" i="7" s="1"/>
  <c r="S33" i="7"/>
  <c r="T33" i="7" s="1"/>
  <c r="S262" i="7"/>
  <c r="T262" i="7" s="1"/>
  <c r="S620" i="7"/>
  <c r="T620" i="7" s="1"/>
  <c r="S314" i="7"/>
  <c r="T314" i="7" s="1"/>
  <c r="S116" i="7"/>
  <c r="T116" i="7" s="1"/>
  <c r="S409" i="7"/>
  <c r="T409" i="7" s="1"/>
  <c r="S93" i="7"/>
  <c r="T93" i="7" s="1"/>
  <c r="S222" i="7"/>
  <c r="T222" i="7" s="1"/>
  <c r="S505" i="7"/>
  <c r="T505" i="7" s="1"/>
  <c r="S382" i="7"/>
  <c r="T382" i="7" s="1"/>
  <c r="S237" i="7"/>
  <c r="T237" i="7" s="1"/>
  <c r="S504" i="7"/>
  <c r="T504" i="7" s="1"/>
  <c r="S15" i="7"/>
  <c r="T15" i="7" s="1"/>
  <c r="S511" i="7"/>
  <c r="T511" i="7" s="1"/>
  <c r="S613" i="7"/>
  <c r="T613" i="7" s="1"/>
  <c r="S126" i="7"/>
  <c r="T126" i="7" s="1"/>
  <c r="S196" i="7"/>
  <c r="T196" i="7" s="1"/>
  <c r="S418" i="7"/>
  <c r="T418" i="7" s="1"/>
  <c r="S320" i="7"/>
  <c r="T320" i="7" s="1"/>
  <c r="S216" i="7"/>
  <c r="T216" i="7" s="1"/>
  <c r="S285" i="7"/>
  <c r="T285" i="7" s="1"/>
  <c r="S355" i="7"/>
  <c r="T355" i="7" s="1"/>
  <c r="S443" i="7"/>
  <c r="T443" i="7" s="1"/>
  <c r="S318" i="7"/>
  <c r="T318" i="7" s="1"/>
  <c r="S162" i="7"/>
  <c r="T162" i="7" s="1"/>
  <c r="T521" i="7"/>
  <c r="S521" i="7"/>
  <c r="S27" i="7"/>
  <c r="T27" i="7" s="1"/>
  <c r="S39" i="7"/>
  <c r="T39" i="7" s="1"/>
  <c r="S439" i="7"/>
  <c r="T439" i="7" s="1"/>
  <c r="S633" i="7"/>
  <c r="T633" i="7" s="1"/>
  <c r="S213" i="7"/>
  <c r="T213" i="7" s="1"/>
  <c r="S224" i="7"/>
  <c r="T224" i="7" s="1"/>
  <c r="S43" i="7"/>
  <c r="T43" i="7" s="1"/>
  <c r="S54" i="7"/>
  <c r="T54" i="7" s="1"/>
  <c r="S182" i="7"/>
  <c r="T182" i="7" s="1"/>
  <c r="S466" i="7"/>
  <c r="T466" i="7" s="1"/>
  <c r="S205" i="7"/>
  <c r="T205" i="7" s="1"/>
  <c r="S458" i="7"/>
  <c r="T458" i="7" s="1"/>
  <c r="S86" i="7"/>
  <c r="T86" i="7" s="1"/>
  <c r="S338" i="7"/>
  <c r="T338" i="7" s="1"/>
  <c r="S342" i="7"/>
  <c r="T342" i="7" s="1"/>
  <c r="S506" i="7"/>
  <c r="T506" i="7" s="1"/>
  <c r="S380" i="7"/>
  <c r="T380" i="7" s="1"/>
  <c r="S141" i="7"/>
  <c r="T141" i="7" s="1"/>
  <c r="S425" i="7"/>
  <c r="T425" i="7" s="1"/>
  <c r="S229" i="7"/>
  <c r="T229" i="7"/>
  <c r="S427" i="7"/>
  <c r="T427" i="7" s="1"/>
  <c r="S187" i="7"/>
  <c r="T187" i="7" s="1"/>
  <c r="S107" i="7"/>
  <c r="T107" i="7" s="1"/>
  <c r="S29" i="7"/>
  <c r="T29" i="7" s="1"/>
  <c r="S276" i="7"/>
  <c r="T276" i="7" s="1"/>
  <c r="T59" i="7"/>
  <c r="S59" i="7"/>
  <c r="S459" i="7"/>
  <c r="T459" i="7" s="1"/>
  <c r="S233" i="7"/>
  <c r="T233" i="7" s="1"/>
  <c r="S614" i="7"/>
  <c r="T614" i="7" s="1"/>
  <c r="S395" i="7"/>
  <c r="T395" i="7" s="1"/>
  <c r="S131" i="7"/>
  <c r="T131" i="7" s="1"/>
  <c r="S184" i="7"/>
  <c r="T184" i="7" s="1"/>
  <c r="S608" i="7"/>
  <c r="T608" i="7" s="1"/>
  <c r="S215" i="7"/>
  <c r="T215" i="7" s="1"/>
  <c r="S151" i="7"/>
  <c r="T151" i="7" s="1"/>
  <c r="S96" i="7"/>
  <c r="T96" i="7" s="1"/>
  <c r="S108" i="7"/>
  <c r="T108" i="7" s="1"/>
  <c r="S515" i="7"/>
  <c r="T515" i="7" s="1"/>
  <c r="S235" i="7"/>
  <c r="T235" i="7" s="1"/>
  <c r="S83" i="7"/>
  <c r="T83" i="7" s="1"/>
  <c r="S401" i="7"/>
  <c r="T401" i="7" s="1"/>
  <c r="S8" i="7"/>
  <c r="T8" i="7" s="1"/>
  <c r="S325" i="7"/>
  <c r="T325" i="7" s="1"/>
  <c r="S275" i="7"/>
  <c r="T275" i="7" s="1"/>
  <c r="S143" i="7"/>
  <c r="T143" i="7" s="1"/>
  <c r="S249" i="7"/>
  <c r="T249" i="7" s="1"/>
  <c r="S238" i="7"/>
  <c r="T238" i="7"/>
  <c r="S461" i="7"/>
  <c r="T461" i="7" s="1"/>
  <c r="S379" i="7"/>
  <c r="T379" i="7" s="1"/>
  <c r="S82" i="7"/>
  <c r="T82" i="7"/>
  <c r="S378" i="7"/>
  <c r="T378" i="7" s="1"/>
  <c r="S429" i="7"/>
  <c r="T429" i="7" s="1"/>
  <c r="S34" i="7"/>
  <c r="T34" i="7" s="1"/>
  <c r="S302" i="7"/>
  <c r="T302" i="7" s="1"/>
  <c r="S400" i="7"/>
  <c r="T400" i="7" s="1"/>
  <c r="S287" i="7"/>
  <c r="T287" i="7" s="1"/>
  <c r="S253" i="7"/>
  <c r="T253" i="7" s="1"/>
  <c r="S415" i="7"/>
  <c r="T415" i="7" s="1"/>
  <c r="S484" i="7"/>
  <c r="T484" i="7" s="1"/>
  <c r="S426" i="7"/>
  <c r="T426" i="7" s="1"/>
  <c r="S349" i="7"/>
  <c r="T349" i="7"/>
  <c r="S499" i="7"/>
  <c r="T499" i="7" s="1"/>
  <c r="S40" i="7"/>
  <c r="T40" i="7" s="1"/>
  <c r="S447" i="7"/>
  <c r="T447" i="7" s="1"/>
  <c r="S519" i="7"/>
  <c r="T519" i="7" s="1"/>
  <c r="S293" i="7"/>
  <c r="T293" i="7" s="1"/>
  <c r="S56" i="7"/>
  <c r="T56" i="7" s="1"/>
  <c r="S455" i="7"/>
  <c r="T455" i="7" s="1"/>
  <c r="S78" i="7"/>
  <c r="T78" i="7" s="1"/>
  <c r="S26" i="7"/>
  <c r="T26" i="7" s="1"/>
  <c r="S104" i="7"/>
  <c r="T104" i="7" s="1"/>
  <c r="S134" i="7"/>
  <c r="T134" i="7" s="1"/>
  <c r="S123" i="7"/>
  <c r="T123" i="7"/>
  <c r="S58" i="7"/>
  <c r="T58" i="7" s="1"/>
  <c r="S266" i="7"/>
  <c r="T266" i="7" s="1"/>
  <c r="S362" i="7"/>
  <c r="T362" i="7" s="1"/>
  <c r="S17" i="7"/>
  <c r="T17" i="7" s="1"/>
  <c r="S417" i="7"/>
  <c r="T417" i="7" s="1"/>
  <c r="S223" i="7"/>
  <c r="T223" i="7" s="1"/>
  <c r="S60" i="7"/>
  <c r="T60" i="7" s="1"/>
  <c r="S460" i="7"/>
  <c r="T460" i="7" s="1"/>
  <c r="S221" i="7"/>
  <c r="T221" i="7" s="1"/>
  <c r="S621" i="7"/>
  <c r="T621" i="7" s="1"/>
  <c r="S246" i="7"/>
  <c r="T246" i="7" s="1"/>
  <c r="S88" i="7"/>
  <c r="T88" i="7" s="1"/>
  <c r="T527" i="7"/>
  <c r="S527" i="7"/>
  <c r="S351" i="7"/>
  <c r="T351" i="7" s="1"/>
  <c r="S356" i="7"/>
  <c r="T356" i="7" s="1"/>
  <c r="S139" i="7"/>
  <c r="T139" i="7" s="1"/>
  <c r="S474" i="7"/>
  <c r="T474" i="7" s="1"/>
  <c r="S313" i="7"/>
  <c r="T313" i="7" s="1"/>
  <c r="S75" i="7"/>
  <c r="T75" i="7" s="1"/>
  <c r="S475" i="7"/>
  <c r="T475" i="7" s="1"/>
  <c r="S438" i="7"/>
  <c r="T438" i="7" s="1"/>
  <c r="S25" i="7"/>
  <c r="T25" i="7" s="1"/>
  <c r="S220" i="7"/>
  <c r="T220" i="7" s="1"/>
  <c r="S69" i="7"/>
  <c r="T69" i="7" s="1"/>
  <c r="S73" i="7"/>
  <c r="T73" i="7" s="1"/>
  <c r="S171" i="7"/>
  <c r="T171" i="7" s="1"/>
  <c r="S444" i="7"/>
  <c r="T444" i="7" s="1"/>
  <c r="S209" i="7"/>
  <c r="T209" i="7" s="1"/>
  <c r="S405" i="7"/>
  <c r="T405" i="7" s="1"/>
  <c r="S21" i="7"/>
  <c r="T21" i="7" s="1"/>
  <c r="S309" i="7"/>
  <c r="T309" i="7" s="1"/>
  <c r="S491" i="7"/>
  <c r="T491" i="7" s="1"/>
  <c r="S7" i="7"/>
  <c r="T7" i="7" s="1"/>
  <c r="S280" i="7"/>
  <c r="T280" i="7" s="1"/>
  <c r="S269" i="7"/>
  <c r="T269" i="7" s="1"/>
  <c r="S306" i="7"/>
  <c r="T306" i="7" s="1"/>
  <c r="S61" i="7"/>
  <c r="T61" i="7" s="1"/>
  <c r="S616" i="7"/>
  <c r="T616" i="7" s="1"/>
  <c r="S315" i="7"/>
  <c r="T315" i="7" s="1"/>
  <c r="S226" i="7"/>
  <c r="T226" i="7" s="1"/>
  <c r="S558" i="7"/>
  <c r="T558" i="7"/>
  <c r="S500" i="7"/>
  <c r="T500" i="7" s="1"/>
  <c r="S630" i="7"/>
  <c r="T630" i="7" s="1"/>
  <c r="T19" i="7"/>
  <c r="S19" i="7"/>
  <c r="S65" i="7"/>
  <c r="T65" i="7" s="1"/>
  <c r="S345" i="7"/>
  <c r="T345" i="7" s="1"/>
  <c r="S124" i="7"/>
  <c r="T124" i="7" s="1"/>
  <c r="S286" i="7"/>
  <c r="T286" i="7" s="1"/>
  <c r="S507" i="7"/>
  <c r="T507" i="7" s="1"/>
  <c r="S79" i="7"/>
  <c r="T79" i="7" s="1"/>
  <c r="S244" i="7"/>
  <c r="T244" i="7" s="1"/>
  <c r="S622" i="7"/>
  <c r="T622" i="7" s="1"/>
  <c r="S311" i="7"/>
  <c r="T311" i="7" s="1"/>
  <c r="S631" i="7"/>
  <c r="T631" i="7" s="1"/>
  <c r="S516" i="7"/>
  <c r="T516" i="7" s="1"/>
  <c r="S103" i="7"/>
  <c r="T103" i="7" s="1"/>
  <c r="S46" i="7"/>
  <c r="T46" i="7" s="1"/>
  <c r="S331" i="7"/>
  <c r="T331" i="7" s="1"/>
  <c r="S454" i="7"/>
  <c r="T454" i="7" s="1"/>
  <c r="S158" i="7"/>
  <c r="T158" i="7" s="1"/>
  <c r="S352" i="7"/>
  <c r="T352" i="7" s="1"/>
  <c r="S53" i="7"/>
  <c r="T53" i="7" s="1"/>
  <c r="S284" i="7"/>
  <c r="T284" i="7" s="1"/>
  <c r="S154" i="7"/>
  <c r="T154" i="7" s="1"/>
  <c r="S243" i="7"/>
  <c r="T243" i="7" s="1"/>
  <c r="S298" i="7"/>
  <c r="T298" i="7" s="1"/>
  <c r="S446" i="7"/>
  <c r="T446" i="7" s="1"/>
  <c r="S37" i="7"/>
  <c r="T37" i="7" s="1"/>
  <c r="S437" i="7"/>
  <c r="T437" i="7" s="1"/>
  <c r="S403" i="7"/>
  <c r="T403" i="7"/>
  <c r="S80" i="7"/>
  <c r="T80" i="7" s="1"/>
  <c r="S480" i="7"/>
  <c r="T480" i="7" s="1"/>
  <c r="S241" i="7"/>
  <c r="T241" i="7" s="1"/>
  <c r="S386" i="7"/>
  <c r="T386" i="7" s="1"/>
  <c r="S609" i="7"/>
  <c r="T609" i="7" s="1"/>
  <c r="S188" i="7"/>
  <c r="T188" i="7" s="1"/>
  <c r="S628" i="7"/>
  <c r="T628" i="7" s="1"/>
  <c r="S607" i="7"/>
  <c r="T607" i="7" s="1"/>
  <c r="S371" i="7"/>
  <c r="T371" i="7" s="1"/>
  <c r="S376" i="7"/>
  <c r="T376" i="7" s="1"/>
  <c r="S159" i="7"/>
  <c r="T159" i="7" s="1"/>
  <c r="S494" i="7"/>
  <c r="T494" i="7" s="1"/>
  <c r="S333" i="7"/>
  <c r="T333" i="7"/>
  <c r="S95" i="7"/>
  <c r="T95" i="7" s="1"/>
  <c r="S535" i="7"/>
  <c r="T535" i="7"/>
  <c r="S605" i="7"/>
  <c r="T605" i="7" s="1"/>
  <c r="S601" i="7"/>
  <c r="T601" i="7" s="1"/>
  <c r="S496" i="7"/>
  <c r="T496" i="7" s="1"/>
  <c r="S518" i="7"/>
  <c r="T518" i="7" s="1"/>
  <c r="S168" i="7"/>
  <c r="T168" i="7" s="1"/>
  <c r="S411" i="7"/>
  <c r="T411" i="7" s="1"/>
  <c r="S604" i="7"/>
  <c r="T604" i="7" s="1"/>
  <c r="S385" i="7"/>
  <c r="T385" i="7" s="1"/>
  <c r="S374" i="7"/>
  <c r="T374" i="7" s="1"/>
  <c r="S146" i="7"/>
  <c r="T146" i="7" s="1"/>
  <c r="S260" i="7"/>
  <c r="T260" i="7" s="1"/>
  <c r="S189" i="7"/>
  <c r="T189" i="7" s="1"/>
  <c r="S211" i="7"/>
  <c r="T211" i="7" s="1"/>
  <c r="S156" i="7"/>
  <c r="T156" i="7" s="1"/>
  <c r="S41" i="7"/>
  <c r="T41" i="7" s="1"/>
  <c r="S596" i="7"/>
  <c r="T596" i="7" s="1"/>
  <c r="S203" i="7"/>
  <c r="T203" i="7" s="1"/>
  <c r="S18" i="7"/>
  <c r="T18" i="7" s="1"/>
  <c r="S369" i="7"/>
  <c r="T369" i="7" s="1"/>
  <c r="S343" i="7"/>
  <c r="T343" i="7" s="1"/>
  <c r="S305" i="7"/>
  <c r="T305" i="7" s="1"/>
  <c r="S165" i="7"/>
  <c r="T165" i="7" s="1"/>
  <c r="S399" i="7"/>
  <c r="T399" i="7" s="1"/>
  <c r="S340" i="7"/>
  <c r="T340" i="7" s="1"/>
  <c r="S193" i="7"/>
  <c r="T193" i="7" s="1"/>
  <c r="S164" i="7"/>
  <c r="T164" i="7" s="1"/>
  <c r="S149" i="7"/>
  <c r="T149" i="7" s="1"/>
  <c r="S365" i="7"/>
  <c r="T365" i="7" s="1"/>
  <c r="T161" i="7"/>
  <c r="S161" i="7"/>
  <c r="S296" i="7"/>
  <c r="T296" i="7" s="1"/>
  <c r="S94" i="7"/>
  <c r="T94" i="7" s="1"/>
  <c r="S181" i="7"/>
  <c r="T181" i="7" s="1"/>
  <c r="S316" i="7"/>
  <c r="T316" i="7" s="1"/>
  <c r="S202" i="7"/>
  <c r="T202" i="7" s="1"/>
  <c r="S201" i="7"/>
  <c r="T201" i="7" s="1"/>
  <c r="S336" i="7"/>
  <c r="T336" i="7" s="1"/>
  <c r="S178" i="7"/>
  <c r="T178" i="7" s="1"/>
  <c r="S372" i="7"/>
  <c r="T372" i="7" s="1"/>
  <c r="S433" i="7"/>
  <c r="T433" i="7" s="1"/>
  <c r="S424" i="7"/>
  <c r="T424" i="7" s="1"/>
  <c r="S174" i="7"/>
  <c r="T174" i="7" s="1"/>
  <c r="S383" i="7"/>
  <c r="T383" i="7" s="1"/>
  <c r="S478" i="7"/>
  <c r="T478" i="7" s="1"/>
  <c r="S63" i="7"/>
  <c r="T63" i="7" s="1"/>
  <c r="S57" i="7"/>
  <c r="T57" i="7" s="1"/>
  <c r="S457" i="7"/>
  <c r="T457" i="7" s="1"/>
  <c r="S602" i="7"/>
  <c r="T602" i="7"/>
  <c r="S100" i="7"/>
  <c r="T100" i="7" s="1"/>
  <c r="S501" i="7"/>
  <c r="T501" i="7" s="1"/>
  <c r="S261" i="7"/>
  <c r="T261" i="7" s="1"/>
  <c r="S142" i="7"/>
  <c r="T142" i="7" s="1"/>
  <c r="S147" i="7"/>
  <c r="T147" i="7" s="1"/>
  <c r="S248" i="7"/>
  <c r="T248" i="7" s="1"/>
  <c r="S48" i="7"/>
  <c r="T48" i="7" s="1"/>
  <c r="S68" i="7"/>
  <c r="T68" i="7" s="1"/>
  <c r="S431" i="7"/>
  <c r="T431" i="7" s="1"/>
  <c r="S396" i="7"/>
  <c r="T396" i="7" s="1"/>
  <c r="S179" i="7"/>
  <c r="T179" i="7" s="1"/>
  <c r="T353" i="7"/>
  <c r="S353" i="7"/>
  <c r="S115" i="7"/>
  <c r="T115" i="7" s="1"/>
  <c r="S62" i="7"/>
  <c r="T62" i="7" s="1"/>
  <c r="S360" i="7"/>
  <c r="T360" i="7" s="1"/>
  <c r="S294" i="7"/>
  <c r="T294" i="7" s="1"/>
  <c r="S304" i="7"/>
  <c r="T304" i="7" s="1"/>
  <c r="S623" i="7"/>
  <c r="T623" i="7" s="1"/>
  <c r="S64" i="7"/>
  <c r="T64" i="7" s="1"/>
  <c r="S319" i="7"/>
  <c r="T319" i="7" s="1"/>
  <c r="S136" i="7"/>
  <c r="T136" i="7" s="1"/>
  <c r="S87" i="7"/>
  <c r="T87" i="7" s="1"/>
  <c r="S113" i="7"/>
  <c r="T113" i="7" s="1"/>
  <c r="S84" i="7"/>
  <c r="T84" i="7" s="1"/>
  <c r="S428" i="7"/>
  <c r="T428" i="7" s="1"/>
  <c r="S231" i="7"/>
  <c r="T231" i="7" s="1"/>
  <c r="S257" i="7"/>
  <c r="T257" i="7" s="1"/>
  <c r="S85" i="7"/>
  <c r="T85" i="7" s="1"/>
  <c r="S329" i="7"/>
  <c r="T329" i="7" s="1"/>
  <c r="S153" i="7"/>
  <c r="T153" i="7" s="1"/>
  <c r="S14" i="7"/>
  <c r="T14" i="7" s="1"/>
  <c r="S251" i="7"/>
  <c r="T251" i="7" s="1"/>
  <c r="S81" i="7"/>
  <c r="T81" i="7" s="1"/>
  <c r="S486" i="7"/>
  <c r="T486" i="7" s="1"/>
  <c r="S445" i="7"/>
  <c r="T445" i="7" s="1"/>
  <c r="S101" i="7"/>
  <c r="T101" i="7" s="1"/>
  <c r="S327" i="7"/>
  <c r="T327" i="7" s="1"/>
  <c r="S419" i="7"/>
  <c r="T419" i="7" s="1"/>
  <c r="S346" i="7"/>
  <c r="T346" i="7" s="1"/>
  <c r="S387" i="7"/>
  <c r="T387" i="7" s="1"/>
  <c r="S183" i="7"/>
  <c r="T183" i="7" s="1"/>
  <c r="S598" i="7"/>
  <c r="T598" i="7" s="1"/>
  <c r="S485" i="7"/>
  <c r="T485" i="7" s="1"/>
  <c r="S479" i="7"/>
  <c r="T479" i="7" s="1"/>
  <c r="S462" i="7"/>
  <c r="T462" i="7" s="1"/>
  <c r="S420" i="7"/>
  <c r="T420" i="7" s="1"/>
  <c r="S347" i="7"/>
  <c r="T347" i="7" s="1"/>
  <c r="S404" i="7"/>
  <c r="T404" i="7" s="1"/>
  <c r="S467" i="7"/>
  <c r="T467" i="7" s="1"/>
  <c r="S51" i="7"/>
  <c r="T51" i="7" s="1"/>
  <c r="S198" i="7"/>
  <c r="T198" i="7" s="1"/>
  <c r="S392" i="7"/>
  <c r="T392" i="7" s="1"/>
  <c r="S453" i="7"/>
  <c r="T453" i="7" s="1"/>
  <c r="S524" i="7"/>
  <c r="T524" i="7"/>
  <c r="T194" i="7"/>
  <c r="S194" i="7"/>
  <c r="S503" i="7"/>
  <c r="T503" i="7"/>
  <c r="S618" i="7"/>
  <c r="T618" i="7" s="1"/>
  <c r="S323" i="7"/>
  <c r="T323" i="7" s="1"/>
  <c r="S77" i="7"/>
  <c r="T77" i="7" s="1"/>
  <c r="S477" i="7"/>
  <c r="T477" i="7" s="1"/>
  <c r="S24" i="7"/>
  <c r="T24" i="7" s="1"/>
  <c r="S120" i="7"/>
  <c r="T120" i="7" s="1"/>
  <c r="S281" i="7"/>
  <c r="T281" i="7" s="1"/>
  <c r="S322" i="7"/>
  <c r="T322" i="7" s="1"/>
  <c r="S47" i="7"/>
  <c r="T47" i="7" s="1"/>
  <c r="S148" i="7"/>
  <c r="T148" i="7" s="1"/>
  <c r="S328" i="7"/>
  <c r="T328" i="7" s="1"/>
  <c r="S228" i="7"/>
  <c r="T228" i="7" s="1"/>
  <c r="S208" i="7"/>
  <c r="T208" i="7" s="1"/>
  <c r="S412" i="7"/>
  <c r="T412" i="7" s="1"/>
  <c r="S416" i="7"/>
  <c r="T416" i="7" s="1"/>
  <c r="S199" i="7"/>
  <c r="T199" i="7" s="1"/>
  <c r="S599" i="7"/>
  <c r="T599" i="7" s="1"/>
  <c r="S373" i="7"/>
  <c r="T373" i="7" s="1"/>
  <c r="S135" i="7"/>
  <c r="T135" i="7" s="1"/>
  <c r="S324" i="7"/>
  <c r="T324" i="7" s="1"/>
  <c r="S45" i="7"/>
  <c r="T45" i="7" s="1"/>
  <c r="S23" i="7"/>
  <c r="T23" i="7" s="1"/>
  <c r="T381" i="7"/>
  <c r="S381" i="7"/>
  <c r="S299" i="7"/>
  <c r="T299" i="7" s="1"/>
  <c r="S422" i="7"/>
  <c r="T422" i="7" s="1"/>
  <c r="S597" i="7"/>
  <c r="T597" i="7" s="1"/>
  <c r="S49" i="7"/>
  <c r="T49" i="7" s="1"/>
  <c r="S483" i="7"/>
  <c r="T483" i="7" s="1"/>
  <c r="S421" i="7"/>
  <c r="T421" i="7" s="1"/>
  <c r="S339" i="7"/>
  <c r="T339" i="7" s="1"/>
  <c r="S125" i="7"/>
  <c r="T125" i="7" s="1"/>
  <c r="S389" i="7"/>
  <c r="T389" i="7" s="1"/>
  <c r="S22" i="7"/>
  <c r="T22" i="7" s="1"/>
  <c r="S176" i="7"/>
  <c r="T176" i="7" s="1"/>
  <c r="S300" i="7"/>
  <c r="T300" i="7" s="1"/>
  <c r="S247" i="7"/>
  <c r="T247" i="7" s="1"/>
  <c r="S106" i="7"/>
  <c r="T106" i="7" s="1"/>
  <c r="S481" i="7"/>
  <c r="T481" i="7" s="1"/>
  <c r="S442" i="7"/>
  <c r="T442" i="7" s="1"/>
  <c r="S326" i="7"/>
  <c r="T326" i="7" s="1"/>
  <c r="S236" i="7"/>
  <c r="T236" i="7" s="1"/>
  <c r="S451" i="7"/>
  <c r="T451" i="7" s="1"/>
  <c r="S626" i="7"/>
  <c r="T626" i="7" s="1"/>
  <c r="S317" i="7"/>
  <c r="T317" i="7" s="1"/>
  <c r="T121" i="7"/>
  <c r="S121" i="7"/>
  <c r="S256" i="7"/>
  <c r="T256" i="7" s="1"/>
  <c r="S594" i="7"/>
  <c r="T594" i="7" s="1"/>
  <c r="S344" i="7"/>
  <c r="T344" i="7" s="1"/>
  <c r="S606" i="7"/>
  <c r="T606" i="7" s="1"/>
  <c r="S289" i="7"/>
  <c r="T289" i="7" s="1"/>
  <c r="T414" i="7"/>
  <c r="S414" i="7"/>
  <c r="S611" i="7"/>
  <c r="T611" i="7" s="1"/>
  <c r="S495" i="7"/>
  <c r="T495" i="7" s="1"/>
  <c r="S20" i="7"/>
  <c r="T20" i="7" s="1"/>
  <c r="S273" i="7"/>
  <c r="T273" i="7" s="1"/>
  <c r="S440" i="7"/>
  <c r="T440" i="7" s="1"/>
  <c r="S71" i="7"/>
  <c r="T71" i="7" s="1"/>
  <c r="S218" i="7"/>
  <c r="T218" i="7" s="1"/>
  <c r="S98" i="7"/>
  <c r="T98" i="7" s="1"/>
  <c r="S473" i="7"/>
  <c r="T473" i="7" s="1"/>
  <c r="S105" i="7"/>
  <c r="T105" i="7" s="1"/>
  <c r="S214" i="7"/>
  <c r="T214" i="7" s="1"/>
  <c r="S42" i="7"/>
  <c r="T42" i="7" s="1"/>
  <c r="S16" i="7"/>
  <c r="T16" i="7" s="1"/>
  <c r="S463" i="7"/>
  <c r="T463" i="7"/>
  <c r="S97" i="7"/>
  <c r="T97" i="7" s="1"/>
  <c r="S497" i="7"/>
  <c r="T497" i="7" s="1"/>
  <c r="S263" i="7"/>
  <c r="T263" i="7" s="1"/>
  <c r="S140" i="7"/>
  <c r="T140" i="7" s="1"/>
  <c r="T540" i="7"/>
  <c r="S540" i="7"/>
  <c r="S301" i="7"/>
  <c r="T301" i="7" s="1"/>
  <c r="S502" i="7"/>
  <c r="T502" i="7" s="1"/>
  <c r="S267" i="7"/>
  <c r="T267" i="7" s="1"/>
  <c r="S127" i="7"/>
  <c r="T127" i="7" s="1"/>
  <c r="T408" i="7"/>
  <c r="S408" i="7"/>
  <c r="S308" i="7"/>
  <c r="T308" i="7" s="1"/>
  <c r="S268" i="7"/>
  <c r="T268" i="7" s="1"/>
  <c r="S432" i="7"/>
  <c r="T432" i="7" s="1"/>
  <c r="S436" i="7"/>
  <c r="T436" i="7" s="1"/>
  <c r="S219" i="7"/>
  <c r="T219" i="7" s="1"/>
  <c r="S619" i="7"/>
  <c r="T619" i="7" s="1"/>
  <c r="S35" i="7"/>
  <c r="T35" i="7"/>
  <c r="S393" i="7"/>
  <c r="T393" i="7" s="1"/>
  <c r="S155" i="7"/>
  <c r="T155" i="7" s="1"/>
  <c r="S423" i="7"/>
  <c r="T423" i="7" s="1"/>
  <c r="S279" i="7"/>
  <c r="T279" i="7" s="1"/>
  <c r="S465" i="7"/>
  <c r="T465" i="7" s="1"/>
  <c r="S225" i="7"/>
  <c r="T225" i="7" s="1"/>
  <c r="S627" i="7"/>
  <c r="T627" i="7"/>
  <c r="S265" i="7"/>
  <c r="T265" i="7" s="1"/>
  <c r="S240" i="7"/>
  <c r="T240" i="7" s="1"/>
  <c r="S89" i="7"/>
  <c r="T89" i="7" s="1"/>
  <c r="S255" i="7"/>
  <c r="T255" i="7" s="1"/>
  <c r="S191" i="7"/>
  <c r="T191" i="7" s="1"/>
  <c r="T514" i="7"/>
  <c r="S514" i="7"/>
  <c r="S617" i="7"/>
  <c r="T617" i="7" s="1"/>
  <c r="S368" i="7"/>
  <c r="T368" i="7" s="1"/>
  <c r="S394" i="7"/>
  <c r="T394" i="7" s="1"/>
  <c r="S593" i="7"/>
  <c r="T593" i="7" s="1"/>
  <c r="S185" i="7"/>
  <c r="T185" i="7" s="1"/>
  <c r="S441" i="7"/>
  <c r="T441" i="7" s="1"/>
  <c r="S359" i="7"/>
  <c r="T359" i="7" s="1"/>
  <c r="S295" i="7"/>
  <c r="T295" i="7" s="1"/>
  <c r="S204" i="7"/>
  <c r="T204" i="7" s="1"/>
  <c r="S508" i="7"/>
  <c r="T508" i="7" s="1"/>
  <c r="S282" i="7"/>
  <c r="T282" i="7" s="1"/>
  <c r="S364" i="7"/>
  <c r="T364" i="7" s="1"/>
  <c r="S206" i="7"/>
  <c r="T206" i="7" s="1"/>
  <c r="S489" i="7"/>
  <c r="T489" i="7" s="1"/>
  <c r="S173" i="7"/>
  <c r="T173" i="7" s="1"/>
  <c r="S334" i="7"/>
  <c r="T334" i="7" s="1"/>
  <c r="S264" i="7"/>
  <c r="T264" i="7" s="1"/>
  <c r="S297" i="7"/>
  <c r="T297" i="7" s="1"/>
  <c r="S509" i="7"/>
  <c r="T509" i="7" s="1"/>
  <c r="S122" i="7"/>
  <c r="T122" i="7" s="1"/>
  <c r="S361" i="7"/>
  <c r="T361" i="7" s="1"/>
  <c r="S375" i="7"/>
  <c r="T375" i="7" s="1"/>
  <c r="S357" i="7"/>
  <c r="T357" i="7" s="1"/>
  <c r="S227" i="7"/>
  <c r="T227" i="7" s="1"/>
  <c r="S363" i="7"/>
  <c r="T363" i="7" s="1"/>
  <c r="S377" i="7"/>
  <c r="T377" i="7" s="1"/>
  <c r="S367" i="7"/>
  <c r="T367" i="7" s="1"/>
  <c r="S434" i="7"/>
  <c r="T434" i="7" s="1"/>
  <c r="S435" i="7"/>
  <c r="T435" i="7" s="1"/>
  <c r="S67" i="7"/>
  <c r="T67" i="7" s="1"/>
  <c r="S600" i="7"/>
  <c r="T600" i="7" s="1"/>
  <c r="S91" i="7"/>
  <c r="T91" i="7" s="1"/>
  <c r="S278" i="7"/>
  <c r="T278" i="7" s="1"/>
  <c r="S337" i="7"/>
  <c r="T337" i="7"/>
  <c r="S118" i="7"/>
  <c r="T118" i="7" s="1"/>
  <c r="S145" i="7"/>
  <c r="T145" i="7" s="1"/>
  <c r="T234" i="7"/>
  <c r="S234" i="7"/>
  <c r="S44" i="7"/>
  <c r="T44" i="7" s="1"/>
  <c r="S242" i="7"/>
  <c r="T242" i="7" s="1"/>
  <c r="S36" i="7"/>
  <c r="T36" i="7" s="1"/>
  <c r="S117" i="7"/>
  <c r="T117" i="7" s="1"/>
  <c r="S517" i="7"/>
  <c r="T517" i="7" s="1"/>
  <c r="S464" i="7"/>
  <c r="T464" i="7" s="1"/>
  <c r="S160" i="7"/>
  <c r="T160" i="7" s="1"/>
  <c r="S560" i="7"/>
  <c r="T560" i="7"/>
  <c r="T321" i="7"/>
  <c r="S321" i="7"/>
  <c r="S163" i="7"/>
  <c r="T163" i="7" s="1"/>
  <c r="S407" i="7"/>
  <c r="T407" i="7" s="1"/>
  <c r="S128" i="7"/>
  <c r="T128" i="7" s="1"/>
  <c r="S488" i="7"/>
  <c r="T488" i="7" s="1"/>
  <c r="S388" i="7"/>
  <c r="T388" i="7" s="1"/>
  <c r="S348" i="7"/>
  <c r="T348" i="7" s="1"/>
  <c r="S512" i="7"/>
  <c r="T512" i="7" s="1"/>
  <c r="S456" i="7"/>
  <c r="T456" i="7" s="1"/>
  <c r="S239" i="7"/>
  <c r="T239" i="7" s="1"/>
  <c r="S28" i="7"/>
  <c r="T28" i="7" s="1"/>
  <c r="S413" i="7"/>
  <c r="T413" i="7" s="1"/>
  <c r="S175" i="7"/>
  <c r="T175" i="7" s="1"/>
  <c r="S615" i="7"/>
  <c r="T615" i="7" s="1"/>
  <c r="S398" i="7"/>
  <c r="T398" i="7" s="1"/>
  <c r="S76" i="7"/>
  <c r="T76" i="7" s="1"/>
  <c r="S200" i="7"/>
  <c r="T200" i="7"/>
  <c r="S167" i="7"/>
  <c r="T167" i="7" s="1"/>
  <c r="S391" i="7"/>
  <c r="T391" i="7" s="1"/>
  <c r="S177" i="7"/>
  <c r="T177" i="7" s="1"/>
  <c r="S354" i="7"/>
  <c r="T354" i="7" s="1"/>
  <c r="S303" i="7"/>
  <c r="T303" i="7" s="1"/>
  <c r="S197" i="7"/>
  <c r="T197" i="7" s="1"/>
  <c r="S288" i="7"/>
  <c r="T288" i="7" s="1"/>
  <c r="S471" i="7"/>
  <c r="T471" i="7" s="1"/>
  <c r="S217" i="7"/>
  <c r="T217" i="7" s="1"/>
  <c r="S169" i="7"/>
  <c r="T169" i="7" s="1"/>
  <c r="S138" i="7"/>
  <c r="T138" i="7" s="1"/>
  <c r="S625" i="7"/>
  <c r="T625" i="7" s="1"/>
  <c r="S207" i="7"/>
  <c r="T207" i="7" s="1"/>
  <c r="S133" i="7"/>
  <c r="T133" i="7" s="1"/>
  <c r="S186" i="7"/>
  <c r="T186" i="7" s="1"/>
  <c r="S469" i="7"/>
  <c r="T469" i="7" s="1"/>
  <c r="S366" i="7"/>
  <c r="T366" i="7" s="1"/>
  <c r="S277" i="7"/>
  <c r="T277" i="7" s="1"/>
  <c r="S307" i="7"/>
  <c r="T307" i="7" s="1"/>
  <c r="S271" i="7"/>
  <c r="T271" i="7" s="1"/>
  <c r="S38" i="7"/>
  <c r="T38" i="7" s="1"/>
  <c r="S109" i="7"/>
  <c r="T109" i="7" s="1"/>
  <c r="S452" i="7"/>
  <c r="T452" i="7" s="1"/>
  <c r="S603" i="7"/>
  <c r="T603" i="7" s="1"/>
  <c r="S406" i="7"/>
  <c r="T406" i="7" s="1"/>
  <c r="S66" i="7"/>
  <c r="T66" i="7" s="1"/>
  <c r="S74" i="7"/>
  <c r="T74" i="7" s="1"/>
  <c r="S482" i="7"/>
  <c r="T482" i="7" s="1"/>
  <c r="S291" i="7"/>
  <c r="T291" i="7" s="1"/>
  <c r="S102" i="7"/>
  <c r="T102" i="7" s="1"/>
  <c r="S99" i="7"/>
  <c r="T99" i="7" s="1"/>
  <c r="S114" i="7"/>
  <c r="T114" i="7" s="1"/>
  <c r="S397" i="7"/>
  <c r="T397" i="7" s="1"/>
  <c r="S449" i="7"/>
  <c r="T449" i="7" s="1"/>
  <c r="S119" i="7"/>
  <c r="T119" i="7" s="1"/>
  <c r="S111" i="7"/>
  <c r="T111" i="7" s="1"/>
  <c r="S358" i="7"/>
  <c r="T358" i="7" s="1"/>
  <c r="S498" i="7"/>
  <c r="T498" i="7" s="1"/>
  <c r="S258" i="7"/>
  <c r="T258" i="7" s="1"/>
  <c r="S245" i="7"/>
  <c r="T245" i="7" s="1"/>
  <c r="S254" i="7"/>
  <c r="T254" i="7" s="1"/>
  <c r="S384" i="7"/>
  <c r="T384" i="7" s="1"/>
  <c r="S402" i="7"/>
  <c r="T402" i="7" s="1"/>
  <c r="S55" i="7"/>
  <c r="T55" i="7" s="1"/>
  <c r="S144" i="7"/>
  <c r="T144" i="7" s="1"/>
  <c r="S137" i="7"/>
  <c r="T137" i="7" s="1"/>
  <c r="S624" i="7"/>
  <c r="T624" i="7" s="1"/>
  <c r="S180" i="7"/>
  <c r="T180" i="7" s="1"/>
  <c r="S341" i="7"/>
  <c r="T341" i="7" s="1"/>
  <c r="S283" i="7"/>
  <c r="T283" i="7"/>
  <c r="S487" i="7"/>
  <c r="T487" i="7" s="1"/>
  <c r="S129" i="7"/>
  <c r="T129" i="7" s="1"/>
  <c r="S468" i="7"/>
  <c r="T468" i="7" s="1"/>
  <c r="S448" i="7"/>
  <c r="T448" i="7" s="1"/>
  <c r="S493" i="7"/>
  <c r="T493" i="7" s="1"/>
  <c r="T476" i="7"/>
  <c r="S476" i="7"/>
  <c r="S259" i="7"/>
  <c r="T259" i="7" s="1"/>
  <c r="S166" i="7"/>
  <c r="T166" i="7" s="1"/>
  <c r="S13" i="7"/>
  <c r="T13" i="7" s="1"/>
  <c r="S513" i="7"/>
  <c r="T513" i="7" s="1"/>
  <c r="S195" i="7"/>
  <c r="T195" i="7" s="1"/>
  <c r="O595" i="7"/>
  <c r="S595" i="7" s="1"/>
  <c r="T595" i="7" s="1"/>
  <c r="W520" i="7"/>
  <c r="W521" i="7"/>
  <c r="W522" i="7"/>
  <c r="W523" i="7"/>
  <c r="W524" i="7"/>
  <c r="W525" i="7"/>
  <c r="W526" i="7"/>
  <c r="W527" i="7"/>
  <c r="W528" i="7"/>
  <c r="W529" i="7"/>
  <c r="W530" i="7"/>
  <c r="W531" i="7"/>
  <c r="W532" i="7"/>
  <c r="W533" i="7"/>
  <c r="W534" i="7"/>
  <c r="W535" i="7"/>
  <c r="W536" i="7"/>
  <c r="W537" i="7"/>
  <c r="W538" i="7"/>
  <c r="W539" i="7"/>
  <c r="W540" i="7"/>
  <c r="W541" i="7"/>
  <c r="W542" i="7"/>
  <c r="W543" i="7"/>
  <c r="W544" i="7"/>
  <c r="W545" i="7"/>
  <c r="W546" i="7"/>
  <c r="W547" i="7"/>
  <c r="W548" i="7"/>
  <c r="W549" i="7"/>
  <c r="W550" i="7"/>
  <c r="W551" i="7"/>
  <c r="W552" i="7"/>
  <c r="W553" i="7"/>
  <c r="W554" i="7"/>
  <c r="W555" i="7"/>
  <c r="W556" i="7"/>
  <c r="W557" i="7"/>
  <c r="W558" i="7"/>
  <c r="W559" i="7"/>
  <c r="W560" i="7"/>
  <c r="W561" i="7"/>
  <c r="W562" i="7"/>
  <c r="W563" i="7"/>
  <c r="W564" i="7"/>
  <c r="W565" i="7"/>
  <c r="W566" i="7"/>
  <c r="W567" i="7"/>
  <c r="W568" i="7"/>
  <c r="W569" i="7"/>
  <c r="W570" i="7"/>
  <c r="W571" i="7"/>
  <c r="W572" i="7"/>
  <c r="W573" i="7"/>
  <c r="W574" i="7"/>
  <c r="W575" i="7"/>
  <c r="W576" i="7"/>
  <c r="W577" i="7"/>
  <c r="W578" i="7"/>
  <c r="W579" i="7"/>
  <c r="W580" i="7"/>
  <c r="W581" i="7"/>
  <c r="W582" i="7"/>
  <c r="W583" i="7"/>
  <c r="W584" i="7"/>
  <c r="W585" i="7"/>
  <c r="W586" i="7"/>
  <c r="W587" i="7"/>
  <c r="W588" i="7"/>
  <c r="O522" i="7" l="1"/>
  <c r="S522" i="7" s="1"/>
  <c r="T522" i="7" s="1"/>
  <c r="V522" i="7"/>
  <c r="O523" i="7"/>
  <c r="S523" i="7" s="1"/>
  <c r="T523" i="7" s="1"/>
  <c r="V523" i="7"/>
  <c r="O525" i="7"/>
  <c r="S525" i="7" s="1"/>
  <c r="T525" i="7" s="1"/>
  <c r="V525" i="7"/>
  <c r="O526" i="7"/>
  <c r="S526" i="7" s="1"/>
  <c r="T526" i="7" s="1"/>
  <c r="V526" i="7"/>
  <c r="O529" i="7"/>
  <c r="S529" i="7" s="1"/>
  <c r="T529" i="7" s="1"/>
  <c r="V529" i="7"/>
  <c r="O530" i="7"/>
  <c r="S530" i="7" s="1"/>
  <c r="T530" i="7" s="1"/>
  <c r="V530" i="7"/>
  <c r="O532" i="7"/>
  <c r="S532" i="7" s="1"/>
  <c r="T532" i="7" s="1"/>
  <c r="V532" i="7"/>
  <c r="O533" i="7"/>
  <c r="S533" i="7" s="1"/>
  <c r="T533" i="7" s="1"/>
  <c r="V533" i="7"/>
  <c r="O534" i="7"/>
  <c r="S534" i="7" s="1"/>
  <c r="T534" i="7" s="1"/>
  <c r="V534" i="7"/>
  <c r="O537" i="7"/>
  <c r="S537" i="7" s="1"/>
  <c r="T537" i="7" s="1"/>
  <c r="V537" i="7"/>
  <c r="O539" i="7"/>
  <c r="S539" i="7" s="1"/>
  <c r="T539" i="7" s="1"/>
  <c r="V539" i="7"/>
  <c r="O546" i="7"/>
  <c r="S546" i="7" s="1"/>
  <c r="T546" i="7" s="1"/>
  <c r="V546" i="7"/>
  <c r="O550" i="7"/>
  <c r="S550" i="7" s="1"/>
  <c r="T550" i="7" s="1"/>
  <c r="V550" i="7"/>
  <c r="O552" i="7"/>
  <c r="S552" i="7" s="1"/>
  <c r="T552" i="7" s="1"/>
  <c r="V552" i="7"/>
  <c r="O551" i="7"/>
  <c r="S551" i="7" s="1"/>
  <c r="T551" i="7" s="1"/>
  <c r="V551" i="7"/>
  <c r="O553" i="7"/>
  <c r="S553" i="7" s="1"/>
  <c r="T553" i="7" s="1"/>
  <c r="V553" i="7"/>
  <c r="O557" i="7"/>
  <c r="S557" i="7" s="1"/>
  <c r="T557" i="7" s="1"/>
  <c r="V557" i="7"/>
  <c r="O556" i="7"/>
  <c r="S556" i="7" s="1"/>
  <c r="T556" i="7" s="1"/>
  <c r="V556" i="7"/>
  <c r="O559" i="7"/>
  <c r="S559" i="7" s="1"/>
  <c r="T559" i="7" s="1"/>
  <c r="V559" i="7"/>
  <c r="O563" i="7"/>
  <c r="S563" i="7" s="1"/>
  <c r="T563" i="7" s="1"/>
  <c r="V563" i="7"/>
  <c r="O564" i="7"/>
  <c r="S564" i="7" s="1"/>
  <c r="T564" i="7" s="1"/>
  <c r="V564" i="7"/>
  <c r="O572" i="7"/>
  <c r="S572" i="7" s="1"/>
  <c r="T572" i="7" s="1"/>
  <c r="V572" i="7"/>
  <c r="O573" i="7"/>
  <c r="S573" i="7" s="1"/>
  <c r="T573" i="7" s="1"/>
  <c r="V573" i="7"/>
  <c r="O574" i="7"/>
  <c r="S574" i="7" s="1"/>
  <c r="T574" i="7" s="1"/>
  <c r="V574" i="7"/>
  <c r="O575" i="7"/>
  <c r="S575" i="7" s="1"/>
  <c r="T575" i="7" s="1"/>
  <c r="V575" i="7"/>
  <c r="O577" i="7"/>
  <c r="S577" i="7" s="1"/>
  <c r="T577" i="7" s="1"/>
  <c r="V577" i="7"/>
  <c r="O585" i="7"/>
  <c r="S585" i="7" s="1"/>
  <c r="T585" i="7" s="1"/>
  <c r="V585" i="7"/>
  <c r="O589" i="7"/>
  <c r="S589" i="7" s="1"/>
  <c r="T589" i="7" s="1"/>
  <c r="L520" i="7"/>
  <c r="L522" i="7"/>
  <c r="L523" i="7"/>
  <c r="P523" i="7" s="1"/>
  <c r="L525" i="7"/>
  <c r="P525" i="7" s="1"/>
  <c r="L526" i="7"/>
  <c r="P526" i="7" s="1"/>
  <c r="L529" i="7"/>
  <c r="L530" i="7"/>
  <c r="L532" i="7"/>
  <c r="P532" i="7" s="1"/>
  <c r="L533" i="7"/>
  <c r="L534" i="7"/>
  <c r="P534" i="7" s="1"/>
  <c r="L537" i="7"/>
  <c r="L539" i="7"/>
  <c r="P539" i="7" s="1"/>
  <c r="L546" i="7"/>
  <c r="P546" i="7" s="1"/>
  <c r="L550" i="7"/>
  <c r="L552" i="7"/>
  <c r="P552" i="7" s="1"/>
  <c r="L551" i="7"/>
  <c r="L553" i="7"/>
  <c r="L557" i="7"/>
  <c r="P557" i="7" s="1"/>
  <c r="L556" i="7"/>
  <c r="P556" i="7" s="1"/>
  <c r="L559" i="7"/>
  <c r="L563" i="7"/>
  <c r="L564" i="7"/>
  <c r="L572" i="7"/>
  <c r="L573" i="7"/>
  <c r="P573" i="7" s="1"/>
  <c r="L574" i="7"/>
  <c r="P574" i="7" s="1"/>
  <c r="L575" i="7"/>
  <c r="L577" i="7"/>
  <c r="P577" i="7" s="1"/>
  <c r="L585" i="7"/>
  <c r="L589" i="7"/>
  <c r="P589" i="7" s="1"/>
  <c r="O520" i="7"/>
  <c r="S520" i="7" s="1"/>
  <c r="V520" i="7"/>
  <c r="M564" i="7" l="1"/>
  <c r="P564" i="7"/>
  <c r="M522" i="7"/>
  <c r="P522" i="7"/>
  <c r="M563" i="7"/>
  <c r="P563" i="7"/>
  <c r="M553" i="7"/>
  <c r="P553" i="7"/>
  <c r="M585" i="7"/>
  <c r="P585" i="7"/>
  <c r="M572" i="7"/>
  <c r="P572" i="7"/>
  <c r="M550" i="7"/>
  <c r="P550" i="7"/>
  <c r="M537" i="7"/>
  <c r="P537" i="7"/>
  <c r="M533" i="7"/>
  <c r="P533" i="7"/>
  <c r="P530" i="7"/>
  <c r="M520" i="7"/>
  <c r="P520" i="7"/>
  <c r="M559" i="7"/>
  <c r="P559" i="7"/>
  <c r="M551" i="7"/>
  <c r="P551" i="7"/>
  <c r="M575" i="7"/>
  <c r="P575" i="7"/>
  <c r="M529" i="7"/>
  <c r="P529" i="7"/>
  <c r="T520" i="7"/>
  <c r="M556" i="7"/>
  <c r="M552" i="7"/>
  <c r="M526" i="7"/>
  <c r="M589" i="7"/>
  <c r="M577" i="7"/>
  <c r="M539" i="7"/>
  <c r="M532" i="7"/>
  <c r="M546" i="7"/>
  <c r="M534" i="7"/>
  <c r="M557" i="7"/>
  <c r="M530" i="7"/>
  <c r="M523" i="7"/>
  <c r="M574" i="7"/>
  <c r="M573" i="7"/>
  <c r="M525" i="7"/>
  <c r="A836" i="7" l="1"/>
  <c r="A835" i="7"/>
  <c r="G829" i="7"/>
  <c r="N826" i="7"/>
  <c r="K826" i="7"/>
  <c r="N825" i="7"/>
  <c r="K825" i="7"/>
  <c r="O592" i="7"/>
  <c r="P592" i="7" s="1"/>
  <c r="O591" i="7"/>
  <c r="S591" i="7" s="1"/>
  <c r="T591" i="7" s="1"/>
  <c r="L591" i="7"/>
  <c r="P591" i="7" s="1"/>
  <c r="O590" i="7"/>
  <c r="L590" i="7"/>
  <c r="P590" i="7" s="1"/>
  <c r="V588" i="7"/>
  <c r="O588" i="7"/>
  <c r="S588" i="7" s="1"/>
  <c r="T588" i="7" s="1"/>
  <c r="L588" i="7"/>
  <c r="V587" i="7"/>
  <c r="O587" i="7"/>
  <c r="S587" i="7" s="1"/>
  <c r="T587" i="7" s="1"/>
  <c r="L587" i="7"/>
  <c r="P587" i="7" s="1"/>
  <c r="V586" i="7"/>
  <c r="O586" i="7"/>
  <c r="S586" i="7" s="1"/>
  <c r="T586" i="7" s="1"/>
  <c r="L586" i="7"/>
  <c r="V584" i="7"/>
  <c r="O584" i="7"/>
  <c r="S584" i="7" s="1"/>
  <c r="T584" i="7" s="1"/>
  <c r="L584" i="7"/>
  <c r="P584" i="7" s="1"/>
  <c r="V583" i="7"/>
  <c r="O583" i="7"/>
  <c r="S583" i="7" s="1"/>
  <c r="T583" i="7" s="1"/>
  <c r="L583" i="7"/>
  <c r="V582" i="7"/>
  <c r="O582" i="7"/>
  <c r="S582" i="7" s="1"/>
  <c r="T582" i="7" s="1"/>
  <c r="L582" i="7"/>
  <c r="V581" i="7"/>
  <c r="O581" i="7"/>
  <c r="S581" i="7" s="1"/>
  <c r="T581" i="7" s="1"/>
  <c r="L581" i="7"/>
  <c r="P581" i="7" s="1"/>
  <c r="V580" i="7"/>
  <c r="O580" i="7"/>
  <c r="S580" i="7" s="1"/>
  <c r="T580" i="7" s="1"/>
  <c r="L580" i="7"/>
  <c r="V579" i="7"/>
  <c r="O579" i="7"/>
  <c r="S579" i="7" s="1"/>
  <c r="T579" i="7" s="1"/>
  <c r="L579" i="7"/>
  <c r="P579" i="7" s="1"/>
  <c r="V578" i="7"/>
  <c r="O578" i="7"/>
  <c r="S578" i="7" s="1"/>
  <c r="T578" i="7" s="1"/>
  <c r="L578" i="7"/>
  <c r="P578" i="7" s="1"/>
  <c r="V576" i="7"/>
  <c r="O576" i="7"/>
  <c r="S576" i="7" s="1"/>
  <c r="T576" i="7" s="1"/>
  <c r="L576" i="7"/>
  <c r="V571" i="7"/>
  <c r="O571" i="7"/>
  <c r="S571" i="7" s="1"/>
  <c r="T571" i="7" s="1"/>
  <c r="L571" i="7"/>
  <c r="V570" i="7"/>
  <c r="O570" i="7"/>
  <c r="S570" i="7" s="1"/>
  <c r="T570" i="7" s="1"/>
  <c r="L570" i="7"/>
  <c r="V569" i="7"/>
  <c r="O569" i="7"/>
  <c r="S569" i="7" s="1"/>
  <c r="T569" i="7" s="1"/>
  <c r="L569" i="7"/>
  <c r="P569" i="7" s="1"/>
  <c r="V568" i="7"/>
  <c r="O568" i="7"/>
  <c r="S568" i="7" s="1"/>
  <c r="T568" i="7" s="1"/>
  <c r="L568" i="7"/>
  <c r="P568" i="7" s="1"/>
  <c r="V567" i="7"/>
  <c r="O567" i="7"/>
  <c r="S567" i="7" s="1"/>
  <c r="T567" i="7" s="1"/>
  <c r="L567" i="7"/>
  <c r="P567" i="7" s="1"/>
  <c r="V566" i="7"/>
  <c r="O566" i="7"/>
  <c r="S566" i="7" s="1"/>
  <c r="T566" i="7" s="1"/>
  <c r="L566" i="7"/>
  <c r="V565" i="7"/>
  <c r="O565" i="7"/>
  <c r="S565" i="7" s="1"/>
  <c r="T565" i="7" s="1"/>
  <c r="L565" i="7"/>
  <c r="V562" i="7"/>
  <c r="O562" i="7"/>
  <c r="S562" i="7" s="1"/>
  <c r="T562" i="7" s="1"/>
  <c r="L562" i="7"/>
  <c r="V561" i="7"/>
  <c r="O561" i="7"/>
  <c r="S561" i="7" s="1"/>
  <c r="T561" i="7" s="1"/>
  <c r="L561" i="7"/>
  <c r="V560" i="7"/>
  <c r="O560" i="7"/>
  <c r="L560" i="7"/>
  <c r="V558" i="7"/>
  <c r="O558" i="7"/>
  <c r="L558" i="7"/>
  <c r="P558" i="7" s="1"/>
  <c r="V555" i="7"/>
  <c r="O555" i="7"/>
  <c r="S555" i="7" s="1"/>
  <c r="T555" i="7" s="1"/>
  <c r="L555" i="7"/>
  <c r="P555" i="7" s="1"/>
  <c r="V554" i="7"/>
  <c r="O554" i="7"/>
  <c r="S554" i="7" s="1"/>
  <c r="T554" i="7" s="1"/>
  <c r="L554" i="7"/>
  <c r="P554" i="7" s="1"/>
  <c r="V549" i="7"/>
  <c r="O549" i="7"/>
  <c r="S549" i="7" s="1"/>
  <c r="T549" i="7" s="1"/>
  <c r="L549" i="7"/>
  <c r="V548" i="7"/>
  <c r="O548" i="7"/>
  <c r="S548" i="7" s="1"/>
  <c r="T548" i="7" s="1"/>
  <c r="L548" i="7"/>
  <c r="P548" i="7" s="1"/>
  <c r="V547" i="7"/>
  <c r="O547" i="7"/>
  <c r="S547" i="7" s="1"/>
  <c r="T547" i="7" s="1"/>
  <c r="L547" i="7"/>
  <c r="P547" i="7" s="1"/>
  <c r="V545" i="7"/>
  <c r="O545" i="7"/>
  <c r="S545" i="7" s="1"/>
  <c r="T545" i="7" s="1"/>
  <c r="L545" i="7"/>
  <c r="V544" i="7"/>
  <c r="O544" i="7"/>
  <c r="S544" i="7" s="1"/>
  <c r="T544" i="7" s="1"/>
  <c r="L544" i="7"/>
  <c r="P544" i="7" s="1"/>
  <c r="V543" i="7"/>
  <c r="O543" i="7"/>
  <c r="S543" i="7" s="1"/>
  <c r="T543" i="7" s="1"/>
  <c r="L543" i="7"/>
  <c r="V542" i="7"/>
  <c r="O542" i="7"/>
  <c r="S542" i="7" s="1"/>
  <c r="T542" i="7" s="1"/>
  <c r="L542" i="7"/>
  <c r="P542" i="7" s="1"/>
  <c r="V541" i="7"/>
  <c r="O541" i="7"/>
  <c r="S541" i="7" s="1"/>
  <c r="T541" i="7" s="1"/>
  <c r="L541" i="7"/>
  <c r="V540" i="7"/>
  <c r="O540" i="7"/>
  <c r="L540" i="7"/>
  <c r="P540" i="7" s="1"/>
  <c r="V538" i="7"/>
  <c r="O538" i="7"/>
  <c r="S538" i="7" s="1"/>
  <c r="T538" i="7" s="1"/>
  <c r="L538" i="7"/>
  <c r="V536" i="7"/>
  <c r="O536" i="7"/>
  <c r="S536" i="7" s="1"/>
  <c r="T536" i="7" s="1"/>
  <c r="L536" i="7"/>
  <c r="P536" i="7" s="1"/>
  <c r="V535" i="7"/>
  <c r="O535" i="7"/>
  <c r="L535" i="7"/>
  <c r="V531" i="7"/>
  <c r="O531" i="7"/>
  <c r="S531" i="7" s="1"/>
  <c r="T531" i="7" s="1"/>
  <c r="L531" i="7"/>
  <c r="V528" i="7"/>
  <c r="O528" i="7"/>
  <c r="S528" i="7" s="1"/>
  <c r="L528" i="7"/>
  <c r="V527" i="7"/>
  <c r="O527" i="7"/>
  <c r="L527" i="7"/>
  <c r="P527" i="7" s="1"/>
  <c r="V524" i="7"/>
  <c r="O524" i="7"/>
  <c r="L524" i="7"/>
  <c r="P524" i="7" s="1"/>
  <c r="V521" i="7"/>
  <c r="O521" i="7"/>
  <c r="L521" i="7"/>
  <c r="A837" i="7" l="1"/>
  <c r="P521" i="7"/>
  <c r="P588" i="7"/>
  <c r="P576" i="7"/>
  <c r="P583" i="7"/>
  <c r="P549" i="7"/>
  <c r="M580" i="7"/>
  <c r="P580" i="7"/>
  <c r="M528" i="7"/>
  <c r="P528" i="7"/>
  <c r="M545" i="7"/>
  <c r="P545" i="7"/>
  <c r="M565" i="7"/>
  <c r="P565" i="7"/>
  <c r="M566" i="7"/>
  <c r="P566" i="7"/>
  <c r="M541" i="7"/>
  <c r="P541" i="7"/>
  <c r="M543" i="7"/>
  <c r="P543" i="7"/>
  <c r="M561" i="7"/>
  <c r="P561" i="7"/>
  <c r="M538" i="7"/>
  <c r="P538" i="7"/>
  <c r="M562" i="7"/>
  <c r="P562" i="7"/>
  <c r="M570" i="7"/>
  <c r="P570" i="7"/>
  <c r="M582" i="7"/>
  <c r="P582" i="7"/>
  <c r="M535" i="7"/>
  <c r="P535" i="7"/>
  <c r="M531" i="7"/>
  <c r="P531" i="7"/>
  <c r="M571" i="7"/>
  <c r="P571" i="7"/>
  <c r="M560" i="7"/>
  <c r="P560" i="7"/>
  <c r="P586" i="7"/>
  <c r="S592" i="7"/>
  <c r="T592" i="7" s="1"/>
  <c r="T528" i="7"/>
  <c r="G830" i="7"/>
  <c r="M547" i="7"/>
  <c r="M584" i="7"/>
  <c r="M581" i="7"/>
  <c r="M569" i="7"/>
  <c r="M579" i="7"/>
  <c r="M540" i="7"/>
  <c r="M554" i="7"/>
  <c r="L826" i="7"/>
  <c r="L827" i="7" s="1"/>
  <c r="M587" i="7"/>
  <c r="M588" i="7"/>
  <c r="M555" i="7"/>
  <c r="M542" i="7"/>
  <c r="M568" i="7"/>
  <c r="M527" i="7"/>
  <c r="O826" i="7"/>
  <c r="O827" i="7" s="1"/>
  <c r="O825" i="7"/>
  <c r="M536" i="7"/>
  <c r="M576" i="7"/>
  <c r="M521" i="7"/>
  <c r="L825" i="7"/>
  <c r="L828" i="7"/>
  <c r="O828" i="7" s="1"/>
  <c r="M590" i="7"/>
  <c r="M567" i="7"/>
  <c r="M586" i="7"/>
  <c r="M548" i="7"/>
  <c r="M558" i="7"/>
  <c r="M524" i="7"/>
  <c r="M578" i="7"/>
  <c r="M591" i="7"/>
  <c r="M544" i="7"/>
  <c r="M549" i="7"/>
  <c r="M583" i="7"/>
  <c r="R825" i="7" l="1"/>
  <c r="P825" i="7"/>
  <c r="P829" i="7" s="1"/>
  <c r="M825" i="7"/>
  <c r="S825" i="7" l="1"/>
  <c r="M826" i="7"/>
  <c r="M829" i="7"/>
  <c r="P826" i="7"/>
  <c r="T825" i="7" l="1"/>
  <c r="T826" i="7" s="1"/>
</calcChain>
</file>

<file path=xl/sharedStrings.xml><?xml version="1.0" encoding="utf-8"?>
<sst xmlns="http://schemas.openxmlformats.org/spreadsheetml/2006/main" count="3194" uniqueCount="652">
  <si>
    <t>Date</t>
  </si>
  <si>
    <t>Time</t>
  </si>
  <si>
    <t>Track</t>
  </si>
  <si>
    <t>Race</t>
  </si>
  <si>
    <t>TAB</t>
  </si>
  <si>
    <t>Horse</t>
  </si>
  <si>
    <t>Lev Bet</t>
  </si>
  <si>
    <t>Lev Ret</t>
  </si>
  <si>
    <t>Lev Profit</t>
  </si>
  <si>
    <t>Doomben</t>
  </si>
  <si>
    <t>Flemington</t>
  </si>
  <si>
    <t>Rosehill</t>
  </si>
  <si>
    <t>Eagle Farm</t>
  </si>
  <si>
    <t>Randwick</t>
  </si>
  <si>
    <t>Warwick Farm</t>
  </si>
  <si>
    <t>Sandown Hill</t>
  </si>
  <si>
    <t>Sandown Lake</t>
  </si>
  <si>
    <t>Canterbury</t>
  </si>
  <si>
    <t>Randwick Kensington</t>
  </si>
  <si>
    <t>Fin</t>
  </si>
  <si>
    <t>Div</t>
  </si>
  <si>
    <t>1st</t>
  </si>
  <si>
    <t>3rd</t>
  </si>
  <si>
    <t>2nd</t>
  </si>
  <si>
    <t>Mornington</t>
  </si>
  <si>
    <t>Grand Total</t>
  </si>
  <si>
    <t>(All)</t>
  </si>
  <si>
    <t>Placed</t>
  </si>
  <si>
    <t>Gosford</t>
  </si>
  <si>
    <t>Day</t>
  </si>
  <si>
    <t>Weeks</t>
  </si>
  <si>
    <t xml:space="preserve">Profit Per Week: </t>
  </si>
  <si>
    <t>State</t>
  </si>
  <si>
    <t>NSW</t>
  </si>
  <si>
    <t>Caulfield</t>
  </si>
  <si>
    <t>Profit</t>
  </si>
  <si>
    <t>Moonee Valley</t>
  </si>
  <si>
    <t>Ave Div:</t>
  </si>
  <si>
    <t>Newcastle</t>
  </si>
  <si>
    <t>Aramco</t>
  </si>
  <si>
    <t>Whinchat</t>
  </si>
  <si>
    <t>Thunderlips</t>
  </si>
  <si>
    <t>Mr Brightside</t>
  </si>
  <si>
    <t>Another Wil</t>
  </si>
  <si>
    <t>Bendigo</t>
  </si>
  <si>
    <t>Hawkesbury</t>
  </si>
  <si>
    <t>Scone</t>
  </si>
  <si>
    <t>Metalart</t>
  </si>
  <si>
    <t>The Open</t>
  </si>
  <si>
    <t>Captain Furai</t>
  </si>
  <si>
    <t>In Flight</t>
  </si>
  <si>
    <t>Prancing Spirit</t>
  </si>
  <si>
    <t>Elouyou</t>
  </si>
  <si>
    <t>Cranbourne</t>
  </si>
  <si>
    <t>Ballarat</t>
  </si>
  <si>
    <t>Pakenham</t>
  </si>
  <si>
    <t>The Black Cloud</t>
  </si>
  <si>
    <t>Algorithm</t>
  </si>
  <si>
    <t>Mrs Chrissie</t>
  </si>
  <si>
    <t>Berkshire Breeze</t>
  </si>
  <si>
    <t>Le Zebra</t>
  </si>
  <si>
    <t>Waimarie</t>
  </si>
  <si>
    <t>Boston Rocks</t>
  </si>
  <si>
    <t>Yorkshire</t>
  </si>
  <si>
    <t>Rise At Dawn</t>
  </si>
  <si>
    <t>Dashing Duchess</t>
  </si>
  <si>
    <t>Monarchs Brae</t>
  </si>
  <si>
    <t>Willaidow</t>
  </si>
  <si>
    <t>Free Carry</t>
  </si>
  <si>
    <t>Arisphere</t>
  </si>
  <si>
    <t>Gatsbys</t>
  </si>
  <si>
    <t>Watch My Girl</t>
  </si>
  <si>
    <t>A Little Deep</t>
  </si>
  <si>
    <t>Regal Zeus</t>
  </si>
  <si>
    <t>Tavi Time</t>
  </si>
  <si>
    <t>Plenty Of Ammo</t>
  </si>
  <si>
    <t>Flem-X</t>
  </si>
  <si>
    <t>Warnie</t>
  </si>
  <si>
    <t>Oh Too Good</t>
  </si>
  <si>
    <t>Zou Sensation</t>
  </si>
  <si>
    <t>Accredited</t>
  </si>
  <si>
    <t>Cleo Cat</t>
  </si>
  <si>
    <t>Weigall Tiger</t>
  </si>
  <si>
    <t>Fickle</t>
  </si>
  <si>
    <t>Geelong</t>
  </si>
  <si>
    <t>Wyong</t>
  </si>
  <si>
    <t>Redbreast</t>
  </si>
  <si>
    <t>Samangu</t>
  </si>
  <si>
    <t>New York Lustre</t>
  </si>
  <si>
    <t>Name Dropper</t>
  </si>
  <si>
    <t>Oh Diamond Lil</t>
  </si>
  <si>
    <t>Shaiyhar</t>
  </si>
  <si>
    <t>Revelare</t>
  </si>
  <si>
    <t>Perfumist</t>
  </si>
  <si>
    <t>Devastate</t>
  </si>
  <si>
    <t>Midwest</t>
  </si>
  <si>
    <t>Spring Lee</t>
  </si>
  <si>
    <t>Scillato</t>
  </si>
  <si>
    <t>Amelias Jewel</t>
  </si>
  <si>
    <t>El Jasor</t>
  </si>
  <si>
    <t>Place Du Carrousel</t>
  </si>
  <si>
    <t>Lady Shenandoah</t>
  </si>
  <si>
    <t>Set To Shine</t>
  </si>
  <si>
    <t>Sepals</t>
  </si>
  <si>
    <t>No Name Frank</t>
  </si>
  <si>
    <t>Wanda Rox</t>
  </si>
  <si>
    <t>Arqana</t>
  </si>
  <si>
    <t>Termagant</t>
  </si>
  <si>
    <t>Cunnamulla Fella</t>
  </si>
  <si>
    <t>Just Glamourous</t>
  </si>
  <si>
    <t>Interest Point</t>
  </si>
  <si>
    <t>Catch The Glory</t>
  </si>
  <si>
    <t>Mytemptation</t>
  </si>
  <si>
    <t>Headwall</t>
  </si>
  <si>
    <t>Smokin Princess</t>
  </si>
  <si>
    <t>Clear Thinking</t>
  </si>
  <si>
    <t>Anemacore</t>
  </si>
  <si>
    <t>Merrigold</t>
  </si>
  <si>
    <t>Space Tracker</t>
  </si>
  <si>
    <t>Mintaka Lad</t>
  </si>
  <si>
    <t>Benagil</t>
  </si>
  <si>
    <t>Lindermann</t>
  </si>
  <si>
    <t>Winnasedge</t>
  </si>
  <si>
    <t>Time To Boogie</t>
  </si>
  <si>
    <t>Ducasse</t>
  </si>
  <si>
    <t>Heyoka</t>
  </si>
  <si>
    <t>S/R:</t>
  </si>
  <si>
    <t>Iverson</t>
  </si>
  <si>
    <t>Autumn Glow</t>
  </si>
  <si>
    <t>Via Sistina</t>
  </si>
  <si>
    <t>Super Daisy</t>
  </si>
  <si>
    <t>Track Tale</t>
  </si>
  <si>
    <t>Ouroboros</t>
  </si>
  <si>
    <t>Moby Dick</t>
  </si>
  <si>
    <t>Keitel</t>
  </si>
  <si>
    <t>Kensington</t>
  </si>
  <si>
    <t>Midnight Dynamite</t>
  </si>
  <si>
    <t>Material Dreams</t>
  </si>
  <si>
    <t>Ndola</t>
  </si>
  <si>
    <t>Deakin</t>
  </si>
  <si>
    <t>Alalcance</t>
  </si>
  <si>
    <t>Hughes</t>
  </si>
  <si>
    <t>Thames</t>
  </si>
  <si>
    <t>Joliestar</t>
  </si>
  <si>
    <t>Poison Chalice</t>
  </si>
  <si>
    <t>Aeliana</t>
  </si>
  <si>
    <t>Clean Energy</t>
  </si>
  <si>
    <t>Dschingis Prestige</t>
  </si>
  <si>
    <t>Matcha Latte</t>
  </si>
  <si>
    <t>Shes Got Veuve</t>
  </si>
  <si>
    <t>Big Swinger</t>
  </si>
  <si>
    <t>Treasurethe Moment</t>
  </si>
  <si>
    <t>Harry Got Styles</t>
  </si>
  <si>
    <t>The Right Way</t>
  </si>
  <si>
    <t>War Machine</t>
  </si>
  <si>
    <t>Namesake</t>
  </si>
  <si>
    <t>Miss Kim Kar</t>
  </si>
  <si>
    <t>Happy Link</t>
  </si>
  <si>
    <t>Floozie</t>
  </si>
  <si>
    <t>Demon Darb</t>
  </si>
  <si>
    <t>Immediacy</t>
  </si>
  <si>
    <t>Pride Of Jenni</t>
  </si>
  <si>
    <t>Ziryab</t>
  </si>
  <si>
    <t>Mr Buster</t>
  </si>
  <si>
    <t>Zealously</t>
  </si>
  <si>
    <t>King Zephyr</t>
  </si>
  <si>
    <t>Hellsing</t>
  </si>
  <si>
    <t>Bews</t>
  </si>
  <si>
    <t>Appin Girl</t>
  </si>
  <si>
    <t>Changing Colours</t>
  </si>
  <si>
    <t>Eliyass</t>
  </si>
  <si>
    <t>Soft Love</t>
  </si>
  <si>
    <t>Jimmy The Bear</t>
  </si>
  <si>
    <t>Campaldino</t>
  </si>
  <si>
    <t>Ahha Ahha</t>
  </si>
  <si>
    <t>Need Some Luck</t>
  </si>
  <si>
    <t>Make It Sweet</t>
  </si>
  <si>
    <t>Roadcone</t>
  </si>
  <si>
    <t>Fawkner Park</t>
  </si>
  <si>
    <t>Magical Moments</t>
  </si>
  <si>
    <t>Red Galaxy</t>
  </si>
  <si>
    <t>Splash Back</t>
  </si>
  <si>
    <t>Headley Grange</t>
  </si>
  <si>
    <t>Kerguelen</t>
  </si>
  <si>
    <t>Livin Thing</t>
  </si>
  <si>
    <t>Just For Show</t>
  </si>
  <si>
    <t>Bankers Choice</t>
  </si>
  <si>
    <t>Captain Electric</t>
  </si>
  <si>
    <t>The Inflictor</t>
  </si>
  <si>
    <t>Snack Bar</t>
  </si>
  <si>
    <t>Austmarr</t>
  </si>
  <si>
    <t>Yellow Sam</t>
  </si>
  <si>
    <t>Marble Nine</t>
  </si>
  <si>
    <t>Stylish</t>
  </si>
  <si>
    <t>Shadhavar</t>
  </si>
  <si>
    <t>Xarpo</t>
  </si>
  <si>
    <t>Federer</t>
  </si>
  <si>
    <t>Merchant Flyer</t>
  </si>
  <si>
    <t>Restonica</t>
  </si>
  <si>
    <t>Aolani</t>
  </si>
  <si>
    <t>Tuileries</t>
  </si>
  <si>
    <t>Fioprospero</t>
  </si>
  <si>
    <t>La Fracas</t>
  </si>
  <si>
    <t>Unlimited</t>
  </si>
  <si>
    <t>Keep Your Cool</t>
  </si>
  <si>
    <t>Just Flying</t>
  </si>
  <si>
    <t>Sicilian</t>
  </si>
  <si>
    <t>Bold Soul</t>
  </si>
  <si>
    <t>Documentary</t>
  </si>
  <si>
    <t>Tuff Tu Mus</t>
  </si>
  <si>
    <t>Cho Oyu</t>
  </si>
  <si>
    <t>One Long Day</t>
  </si>
  <si>
    <t>Hawker Hall</t>
  </si>
  <si>
    <t>Kadall</t>
  </si>
  <si>
    <t>Bullion Boy</t>
  </si>
  <si>
    <t>Power Beau</t>
  </si>
  <si>
    <t>Nellie Leylax</t>
  </si>
  <si>
    <t>Pareto</t>
  </si>
  <si>
    <t>Victory Flame</t>
  </si>
  <si>
    <t>Naval Trader</t>
  </si>
  <si>
    <t>Defiant Spirit</t>
  </si>
  <si>
    <t>The Extreme Cat</t>
  </si>
  <si>
    <t>Northern Decree</t>
  </si>
  <si>
    <t>Hard To Cross</t>
  </si>
  <si>
    <t>De Bergerac</t>
  </si>
  <si>
    <t>Vindicta</t>
  </si>
  <si>
    <t>Moon Sweeper</t>
  </si>
  <si>
    <t>Capper Thirtynine</t>
  </si>
  <si>
    <t>Whisky On The Hill</t>
  </si>
  <si>
    <t>Give Giggles</t>
  </si>
  <si>
    <t>Shes Bulletproof</t>
  </si>
  <si>
    <t>Sultry Siren</t>
  </si>
  <si>
    <t>Miss Roumbini</t>
  </si>
  <si>
    <t>Piggyback</t>
  </si>
  <si>
    <t>Travolta</t>
  </si>
  <si>
    <t>Kickatinalong</t>
  </si>
  <si>
    <t>Street Chase</t>
  </si>
  <si>
    <t>Desert Lightning</t>
  </si>
  <si>
    <t>About To Explode</t>
  </si>
  <si>
    <t>Alectrona</t>
  </si>
  <si>
    <t>Tazima</t>
  </si>
  <si>
    <t>Shes Exotic</t>
  </si>
  <si>
    <t>Pop Award</t>
  </si>
  <si>
    <t>Pannier</t>
  </si>
  <si>
    <t>Media World</t>
  </si>
  <si>
    <t>Party For Two</t>
  </si>
  <si>
    <t>Jennivamoose</t>
  </si>
  <si>
    <t>Lazzura</t>
  </si>
  <si>
    <t>Prince Eric</t>
  </si>
  <si>
    <t>Eagle Express</t>
  </si>
  <si>
    <t>Tupakara</t>
  </si>
  <si>
    <t>Sir Delius</t>
  </si>
  <si>
    <t>Fangirl</t>
  </si>
  <si>
    <t>Sunshine Law</t>
  </si>
  <si>
    <t>Charcoals</t>
  </si>
  <si>
    <t>Makdane</t>
  </si>
  <si>
    <t>Juja Kibo</t>
  </si>
  <si>
    <t>Transatlantic</t>
  </si>
  <si>
    <t>Tempted</t>
  </si>
  <si>
    <t>Chidiac</t>
  </si>
  <si>
    <t>So You Are</t>
  </si>
  <si>
    <t>Ruination</t>
  </si>
  <si>
    <t>Facundo</t>
  </si>
  <si>
    <t>Star Ambition</t>
  </si>
  <si>
    <t>Half Yours</t>
  </si>
  <si>
    <t>Agita</t>
  </si>
  <si>
    <t>Rock The Sunrise</t>
  </si>
  <si>
    <t>Sea What I See</t>
  </si>
  <si>
    <t>Express Payment</t>
  </si>
  <si>
    <t>Gangsta Granny</t>
  </si>
  <si>
    <t>Elamaz</t>
  </si>
  <si>
    <t>Fukubana</t>
  </si>
  <si>
    <t>Roselyns Star</t>
  </si>
  <si>
    <t>Bremel</t>
  </si>
  <si>
    <t>Private Eye</t>
  </si>
  <si>
    <t>Rapt</t>
  </si>
  <si>
    <t>Star Of India</t>
  </si>
  <si>
    <t>Bush</t>
  </si>
  <si>
    <t>Vic</t>
  </si>
  <si>
    <t>-</t>
  </si>
  <si>
    <t>Qld</t>
  </si>
  <si>
    <t>Ball</t>
  </si>
  <si>
    <t>Cran</t>
  </si>
  <si>
    <t>Kembla Grange</t>
  </si>
  <si>
    <t>Morphettville Pk</t>
  </si>
  <si>
    <t>SA</t>
  </si>
  <si>
    <t>Morphettville</t>
  </si>
  <si>
    <t>MVN</t>
  </si>
  <si>
    <t>Pak</t>
  </si>
  <si>
    <t>Lookup: State, Bush</t>
  </si>
  <si>
    <t>Alabama State</t>
  </si>
  <si>
    <t>Lord Of Biscay</t>
  </si>
  <si>
    <t>Evaporate</t>
  </si>
  <si>
    <t>Brayden Star</t>
  </si>
  <si>
    <t>Jennilala</t>
  </si>
  <si>
    <t>Roselyn'S Star</t>
  </si>
  <si>
    <t>Arabian Summer</t>
  </si>
  <si>
    <t xml:space="preserve">Elite Combo </t>
  </si>
  <si>
    <t>Nat-Best</t>
  </si>
  <si>
    <t>Trim Proper</t>
  </si>
  <si>
    <t>Synergy In Motion</t>
  </si>
  <si>
    <t>Freeland</t>
  </si>
  <si>
    <t>She'S A Hustler</t>
  </si>
  <si>
    <t>Colophon</t>
  </si>
  <si>
    <t>Rock Hard Love</t>
  </si>
  <si>
    <t>Epic Proportions</t>
  </si>
  <si>
    <t>Dual Listing</t>
  </si>
  <si>
    <t>Nationwide-Best AND Elite Combo</t>
  </si>
  <si>
    <t>Nat and Combo Bet</t>
  </si>
  <si>
    <t>Nat and Combo Return</t>
  </si>
  <si>
    <t>Nat and Combo Profit</t>
  </si>
  <si>
    <t>Connecticut</t>
  </si>
  <si>
    <t>Hedged</t>
  </si>
  <si>
    <t>Istolea Merc</t>
  </si>
  <si>
    <t>Wootton Verni</t>
  </si>
  <si>
    <t>Strawberry Impact</t>
  </si>
  <si>
    <t>Rubi'S Serve</t>
  </si>
  <si>
    <t>United Kingdom</t>
  </si>
  <si>
    <t>Sum of Nat and Combo Bet2</t>
  </si>
  <si>
    <t>Sum of Nat and Combo Profit</t>
  </si>
  <si>
    <t>Count of Nat and Combo Bet</t>
  </si>
  <si>
    <t>Sum of Nat and Combo Return</t>
  </si>
  <si>
    <t>Athanatos</t>
  </si>
  <si>
    <t>Persian Spirit</t>
  </si>
  <si>
    <t>Major Share</t>
  </si>
  <si>
    <t>Presley</t>
  </si>
  <si>
    <t>Frosty Girl</t>
  </si>
  <si>
    <t>Black Run</t>
  </si>
  <si>
    <t>Hot Too Go</t>
  </si>
  <si>
    <t>Maid Of Moolah</t>
  </si>
  <si>
    <t>Brave Miss</t>
  </si>
  <si>
    <t>Meridiana</t>
  </si>
  <si>
    <t>Vestas</t>
  </si>
  <si>
    <t>Grand Pierro</t>
  </si>
  <si>
    <t>Taken</t>
  </si>
  <si>
    <t>House Of Lords</t>
  </si>
  <si>
    <t>Verona Rose</t>
  </si>
  <si>
    <t>Shockletz</t>
  </si>
  <si>
    <t>Enxuto</t>
  </si>
  <si>
    <t>Kinross Lane</t>
  </si>
  <si>
    <t>Sabaj</t>
  </si>
  <si>
    <t>First Mission</t>
  </si>
  <si>
    <t>Nadal</t>
  </si>
  <si>
    <t>Voracious</t>
  </si>
  <si>
    <t>Lyles</t>
  </si>
  <si>
    <t>Nearing Liberty</t>
  </si>
  <si>
    <t>Rubis Serve</t>
  </si>
  <si>
    <t>Rotagilla</t>
  </si>
  <si>
    <t>Zoukerino</t>
  </si>
  <si>
    <t>Title Fighter</t>
  </si>
  <si>
    <t>Bellinger</t>
  </si>
  <si>
    <t>Robrick</t>
  </si>
  <si>
    <t>Disneck</t>
  </si>
  <si>
    <t>Miss Altair</t>
  </si>
  <si>
    <t>Smokin' Princess</t>
  </si>
  <si>
    <t>Taramansour</t>
  </si>
  <si>
    <t>Flamin' Romans</t>
  </si>
  <si>
    <t>Elphinstone</t>
  </si>
  <si>
    <t>Sisterhood</t>
  </si>
  <si>
    <t>Munhamek</t>
  </si>
  <si>
    <t>Centennial Park</t>
  </si>
  <si>
    <t>Tajanis</t>
  </si>
  <si>
    <t>Osipenko</t>
  </si>
  <si>
    <t>Cigar Flick</t>
  </si>
  <si>
    <t>Brazen Lady</t>
  </si>
  <si>
    <t>Miss Tarzy</t>
  </si>
  <si>
    <t>Kings Valley</t>
  </si>
  <si>
    <t>Aztec Ruler</t>
  </si>
  <si>
    <t>Sunshineinmypocket</t>
  </si>
  <si>
    <t>Night Endeavor</t>
  </si>
  <si>
    <t>First Immortal</t>
  </si>
  <si>
    <t>Step Aside</t>
  </si>
  <si>
    <t>She'S Bulletproof</t>
  </si>
  <si>
    <t>Impending Link</t>
  </si>
  <si>
    <t>Maharba</t>
  </si>
  <si>
    <t>Rey Magnerio</t>
  </si>
  <si>
    <t>Angel Capital</t>
  </si>
  <si>
    <t>Marble Arch</t>
  </si>
  <si>
    <t>Fancify</t>
  </si>
  <si>
    <t>Umgawa</t>
  </si>
  <si>
    <t>Chorlton Lane</t>
  </si>
  <si>
    <t>Growing Empire</t>
  </si>
  <si>
    <t>Eye Of The Fire</t>
  </si>
  <si>
    <t>Is It Me</t>
  </si>
  <si>
    <t>Le Ferrari</t>
  </si>
  <si>
    <t>Rush Attack</t>
  </si>
  <si>
    <t>Positivity</t>
  </si>
  <si>
    <t>Bossy Nic</t>
  </si>
  <si>
    <t>Band Of Brothers</t>
  </si>
  <si>
    <t>Steparty</t>
  </si>
  <si>
    <t>Iowna Merc</t>
  </si>
  <si>
    <t>Verdad</t>
  </si>
  <si>
    <t>Young Werther</t>
  </si>
  <si>
    <t>Tom Kitten</t>
  </si>
  <si>
    <t>Our Anchorage</t>
  </si>
  <si>
    <t>Regal Vow</t>
  </si>
  <si>
    <t>Miss Aria</t>
  </si>
  <si>
    <t>Arapaho</t>
  </si>
  <si>
    <t>Bur Dubai</t>
  </si>
  <si>
    <t>Oscar'S Fortune</t>
  </si>
  <si>
    <t>Modown</t>
  </si>
  <si>
    <t>Sweethearted</t>
  </si>
  <si>
    <t>Olentia</t>
  </si>
  <si>
    <t>Pivot City</t>
  </si>
  <si>
    <t>Starboard</t>
  </si>
  <si>
    <t>Fiasco Tess</t>
  </si>
  <si>
    <t>Foujita San</t>
  </si>
  <si>
    <t>New Endeavour</t>
  </si>
  <si>
    <t>Fear No Evil</t>
  </si>
  <si>
    <t>Mazu</t>
  </si>
  <si>
    <t>Oakfield Badger</t>
  </si>
  <si>
    <t>Gitalong</t>
  </si>
  <si>
    <t>Nicolini Vito</t>
  </si>
  <si>
    <t>Khor</t>
  </si>
  <si>
    <t>Roguery</t>
  </si>
  <si>
    <t>Smart Little Miss</t>
  </si>
  <si>
    <t>Scampi</t>
  </si>
  <si>
    <t>Perilous Fighter</t>
  </si>
  <si>
    <t>Gallant Star</t>
  </si>
  <si>
    <t>Fernao</t>
  </si>
  <si>
    <t>Enter The Dragon</t>
  </si>
  <si>
    <t>Madiyya</t>
  </si>
  <si>
    <t>Know Thyself</t>
  </si>
  <si>
    <t>Raikkonen</t>
  </si>
  <si>
    <t>Jumeirah Beach</t>
  </si>
  <si>
    <t>The Novelist</t>
  </si>
  <si>
    <t>She'S Unusual</t>
  </si>
  <si>
    <t>Harry'S Bar</t>
  </si>
  <si>
    <t>Niance</t>
  </si>
  <si>
    <t>Liberami</t>
  </si>
  <si>
    <t>Storm The Ramparts</t>
  </si>
  <si>
    <t>Mickey'S Medal</t>
  </si>
  <si>
    <t>Sayedaty Sadaty</t>
  </si>
  <si>
    <t>Holymanz</t>
  </si>
  <si>
    <t>Earlswood</t>
  </si>
  <si>
    <t>Hi Dubai</t>
  </si>
  <si>
    <t>Goldenstatewarrior</t>
  </si>
  <si>
    <t>Hell To Pay</t>
  </si>
  <si>
    <t>Mollynickers</t>
  </si>
  <si>
    <t>Callistemon</t>
  </si>
  <si>
    <t>Pounding</t>
  </si>
  <si>
    <t>Zaphod</t>
  </si>
  <si>
    <t>Lim'S Saltoro</t>
  </si>
  <si>
    <t>Cheerstothat</t>
  </si>
  <si>
    <t>Starphistocated</t>
  </si>
  <si>
    <t>Puntin</t>
  </si>
  <si>
    <t>Cold Brew</t>
  </si>
  <si>
    <t>Aztec State</t>
  </si>
  <si>
    <t>Just In Time</t>
  </si>
  <si>
    <t>Balkans</t>
  </si>
  <si>
    <t>Illyivy</t>
  </si>
  <si>
    <t>Takeko</t>
  </si>
  <si>
    <t>Amreekiyah</t>
  </si>
  <si>
    <t>Pure Alpha</t>
  </si>
  <si>
    <t>Polyglot</t>
  </si>
  <si>
    <t>Too Darn Discreet</t>
  </si>
  <si>
    <t>Just Feelin' Lucky</t>
  </si>
  <si>
    <t>Globe</t>
  </si>
  <si>
    <t>Sister Daae</t>
  </si>
  <si>
    <t>Yoshinobu</t>
  </si>
  <si>
    <t>Zarastro</t>
  </si>
  <si>
    <t>Denman Star</t>
  </si>
  <si>
    <t>The Creator</t>
  </si>
  <si>
    <t>Shohisha</t>
  </si>
  <si>
    <t>Baraqiel</t>
  </si>
  <si>
    <t>Esha</t>
  </si>
  <si>
    <t>The Years</t>
  </si>
  <si>
    <t>Wonder Boy</t>
  </si>
  <si>
    <t>Mormona</t>
  </si>
  <si>
    <t>Midnight Opal</t>
  </si>
  <si>
    <t>Lovelycut</t>
  </si>
  <si>
    <t>She'S Got Pizzazz</t>
  </si>
  <si>
    <t>Idle Flyer</t>
  </si>
  <si>
    <t>Vauban</t>
  </si>
  <si>
    <t>Buckaroo</t>
  </si>
  <si>
    <t>Mr Verse</t>
  </si>
  <si>
    <t>Ntd</t>
  </si>
  <si>
    <t>Romantic Choice</t>
  </si>
  <si>
    <t>Aldeenaary</t>
  </si>
  <si>
    <t>Koruto</t>
  </si>
  <si>
    <t>Miss Cotoletta</t>
  </si>
  <si>
    <t>Battlefield</t>
  </si>
  <si>
    <t>Smart Action</t>
  </si>
  <si>
    <t>Torabella</t>
  </si>
  <si>
    <t>Slippin Jimmy</t>
  </si>
  <si>
    <t>Russian Alliance</t>
  </si>
  <si>
    <t>Kairos Louie</t>
  </si>
  <si>
    <t>Caprice Des Dieux</t>
  </si>
  <si>
    <t>Whisky Dream</t>
  </si>
  <si>
    <t>Lost In Transit</t>
  </si>
  <si>
    <t>Diablo Bolt</t>
  </si>
  <si>
    <t>Coeur Volante</t>
  </si>
  <si>
    <t>King Kapa</t>
  </si>
  <si>
    <t>Sugar Coat</t>
  </si>
  <si>
    <t>Madame Maserati</t>
  </si>
  <si>
    <t>Nostringsattached</t>
  </si>
  <si>
    <t>Sephia</t>
  </si>
  <si>
    <t>Ipswich</t>
  </si>
  <si>
    <t>Boys Night Out</t>
  </si>
  <si>
    <t>Taltarni Fields</t>
  </si>
  <si>
    <t>Gerringong</t>
  </si>
  <si>
    <t>L/Scr</t>
  </si>
  <si>
    <t>Elite Combo</t>
  </si>
  <si>
    <t>Bet ALL qualifiers from Nat and E-Combo</t>
  </si>
  <si>
    <t>Bets</t>
  </si>
  <si>
    <t>Winners</t>
  </si>
  <si>
    <t>Totals</t>
  </si>
  <si>
    <t>Nationwide Best</t>
  </si>
  <si>
    <t>CaulfieldH</t>
  </si>
  <si>
    <t>Average Dual Listing Bet</t>
  </si>
  <si>
    <t>Average Dual Listing RET</t>
  </si>
  <si>
    <t>Average Dual Listing PROFIT</t>
  </si>
  <si>
    <t>Live Current Algo</t>
  </si>
  <si>
    <t>Unique qualifiers from Nat/E-Combo  (Highest$)</t>
  </si>
  <si>
    <t>Row Labels</t>
  </si>
  <si>
    <t>Elite Combo Current Algo</t>
  </si>
  <si>
    <t>Nationwide Current Combo</t>
  </si>
  <si>
    <t>Bet $</t>
  </si>
  <si>
    <t>Ret</t>
  </si>
  <si>
    <t>Total</t>
  </si>
  <si>
    <t>Bet$</t>
  </si>
  <si>
    <t>Grid Girl</t>
  </si>
  <si>
    <t>Hurstville Zagreb</t>
  </si>
  <si>
    <t>Hurry Curry</t>
  </si>
  <si>
    <t>Demojo</t>
  </si>
  <si>
    <t>Testing Averaging Dual Bets</t>
  </si>
  <si>
    <t>Cau</t>
  </si>
  <si>
    <t>Tikemyson</t>
  </si>
  <si>
    <t>King'S Secret</t>
  </si>
  <si>
    <t>Grand Larceny</t>
  </si>
  <si>
    <t>Amahnis Girl</t>
  </si>
  <si>
    <t>Navyonthehighway</t>
  </si>
  <si>
    <t>Balance The Books</t>
  </si>
  <si>
    <t>Now Is The Hour</t>
  </si>
  <si>
    <t>Bossed Up</t>
  </si>
  <si>
    <t>Harry'S Yacht</t>
  </si>
  <si>
    <t>South Of India</t>
  </si>
  <si>
    <t>Cape Byron</t>
  </si>
  <si>
    <t>Applaud</t>
  </si>
  <si>
    <t>Maldini</t>
  </si>
  <si>
    <t>The Irish</t>
  </si>
  <si>
    <t>Blazen Boots</t>
  </si>
  <si>
    <t>Dark Simba</t>
  </si>
  <si>
    <t>Waku Waku</t>
  </si>
  <si>
    <t>I Only Wish</t>
  </si>
  <si>
    <t>Jenni Gone Bonkers</t>
  </si>
  <si>
    <t>Barberry Spur</t>
  </si>
  <si>
    <t>Hiyaam Proud</t>
  </si>
  <si>
    <t>Skippers Canyon</t>
  </si>
  <si>
    <t>Weeping Woman</t>
  </si>
  <si>
    <t>Ready To Schipp</t>
  </si>
  <si>
    <t>Theblade</t>
  </si>
  <si>
    <t>Flying Aurelius</t>
  </si>
  <si>
    <t>Caulfield Heath</t>
  </si>
  <si>
    <t>CauH</t>
  </si>
  <si>
    <t>Oraqua</t>
  </si>
  <si>
    <t>Oakfield Saturn</t>
  </si>
  <si>
    <t>Knobelas</t>
  </si>
  <si>
    <t>Chest Of Gold</t>
  </si>
  <si>
    <t>Gin A Tonic</t>
  </si>
  <si>
    <t>Just Party</t>
  </si>
  <si>
    <t>Alabama Fox</t>
  </si>
  <si>
    <t>Catoggio</t>
  </si>
  <si>
    <t>Overfull</t>
  </si>
  <si>
    <t>Brave Call</t>
  </si>
  <si>
    <t>Job Done</t>
  </si>
  <si>
    <t>Walsh Bay</t>
  </si>
  <si>
    <t>Oui Oui Oui</t>
  </si>
  <si>
    <t>Eclair Awesome</t>
  </si>
  <si>
    <t>Harrys Yacht</t>
  </si>
  <si>
    <t>Columbia Blue</t>
  </si>
  <si>
    <t>Pre Eminence</t>
  </si>
  <si>
    <t>Amor Victorious</t>
  </si>
  <si>
    <t>Recon</t>
  </si>
  <si>
    <t>Chief Witness</t>
  </si>
  <si>
    <t>Belegato</t>
  </si>
  <si>
    <t>Esjay</t>
  </si>
  <si>
    <t>Codigo</t>
  </si>
  <si>
    <t>Texas Fireball</t>
  </si>
  <si>
    <t>Naval Academy</t>
  </si>
  <si>
    <t>Tavs</t>
  </si>
  <si>
    <t>Sun Gift</t>
  </si>
  <si>
    <t>Zouper Fund</t>
  </si>
  <si>
    <t>Davida</t>
  </si>
  <si>
    <t>Precious Charm</t>
  </si>
  <si>
    <t>Biancelli</t>
  </si>
  <si>
    <t>Deal N' Dash</t>
  </si>
  <si>
    <t>Conscience</t>
  </si>
  <si>
    <t>Welcometotheshow</t>
  </si>
  <si>
    <t>Charleroi</t>
  </si>
  <si>
    <t>Lennox</t>
  </si>
  <si>
    <t>Flem</t>
  </si>
  <si>
    <t>Trapalanda</t>
  </si>
  <si>
    <t>Hanau</t>
  </si>
  <si>
    <t>Suntora</t>
  </si>
  <si>
    <t>Althoff</t>
  </si>
  <si>
    <t>Filter out "2" for Unique Bets.</t>
  </si>
  <si>
    <t>To isolate UNIQUE bets, filter only "1" under Dual Listing drop down.</t>
  </si>
  <si>
    <t>*</t>
  </si>
  <si>
    <t>Tarvue</t>
  </si>
  <si>
    <t>Darkbonee</t>
  </si>
  <si>
    <t>Saint George</t>
  </si>
  <si>
    <t>Botanical Boy</t>
  </si>
  <si>
    <t>Sass Appeal</t>
  </si>
  <si>
    <t>Artful Persuasion</t>
  </si>
  <si>
    <t>Active Duty</t>
  </si>
  <si>
    <t>Sounds Unusual</t>
  </si>
  <si>
    <t>Oak Hill</t>
  </si>
  <si>
    <t>Highway Strip</t>
  </si>
  <si>
    <t>Justadeel</t>
  </si>
  <si>
    <t>Yes I Know</t>
  </si>
  <si>
    <t>Dirty Grin</t>
  </si>
  <si>
    <t>Lim'S Kosciuszko</t>
  </si>
  <si>
    <t>Jenni'S Meadow</t>
  </si>
  <si>
    <t>Dictionary</t>
  </si>
  <si>
    <t>Sovereign Hill</t>
  </si>
  <si>
    <t>Sixties</t>
  </si>
  <si>
    <t>Rue De Royale</t>
  </si>
  <si>
    <t>Fire Star</t>
  </si>
  <si>
    <t>Existential Bob</t>
  </si>
  <si>
    <t>Porter</t>
  </si>
  <si>
    <t>Nepo Baby</t>
  </si>
  <si>
    <t>2025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</si>
  <si>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</si>
  <si>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</si>
  <si>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</si>
  <si>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</si>
  <si>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</si>
  <si>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</si>
  <si>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</si>
  <si>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</si>
  <si>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</si>
  <si>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</si>
  <si>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</si>
  <si>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</si>
  <si>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2026</t>
  </si>
  <si>
    <t>Spiethtacular</t>
  </si>
  <si>
    <t>Akkadian Emperor</t>
  </si>
  <si>
    <t>Edited By</t>
  </si>
  <si>
    <t>Tiger Tie</t>
  </si>
  <si>
    <t>True Amor</t>
  </si>
  <si>
    <t>Feroce</t>
  </si>
  <si>
    <t>Alpha Sofie</t>
  </si>
  <si>
    <t>Sun God</t>
  </si>
  <si>
    <t>Hell</t>
  </si>
  <si>
    <t>Magnaspin</t>
  </si>
  <si>
    <t>Lancelot Du Lac</t>
  </si>
  <si>
    <t>Monte Veebee</t>
  </si>
  <si>
    <t>Cinsault</t>
  </si>
  <si>
    <t>Light Infantry Man</t>
  </si>
  <si>
    <t>Lulumon</t>
  </si>
  <si>
    <t>S/R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</si>
</sst>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[$-C09]dd\-mmm\-yy;@"/>
    <numFmt numFmtId="165" formatCode="_-&quot;$&quot;* #,##0_-;\-&quot;$&quot;* #,##0_-;_-&quot;$&quot;* &quot;-&quot;??_-;_-@_-"/>
    <numFmt numFmtId="166" formatCode="0.0%"/>
    <numFmt numFmtId="167" formatCode="&quot;$&quot;#,##0.00"/>
  </numFmts>
  <fonts count="3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  <font>
      <sz val="11"/>
      <color rgb="FF0070C0"/>
      <name val="Calibri"/>
      <family val="2"/>
    </font>
    <font>
      <b/>
      <sz val="14"/>
      <color rgb="FF0070C0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</font>
    <font>
      <b/>
      <sz val="9"/>
      <color rgb="FF002060"/>
      <name val="Calibri"/>
      <family val="2"/>
    </font>
    <font>
      <sz val="10"/>
      <color rgb="FFFFFF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sz val="11"/>
      <name val="Calibri"/>
      <family val="2"/>
    </font>
    <font>
      <sz val="16"/>
      <color rgb="FFFFFF00"/>
      <name val="Calibri"/>
      <family val="2"/>
    </font>
    <font>
      <b/>
      <sz val="12"/>
      <color theme="0"/>
      <name val="Calibri"/>
      <family val="2"/>
    </font>
    <font>
      <b/>
      <i/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0070C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33CC"/>
      <name val="Calibri"/>
      <family val="2"/>
    </font>
    <font>
      <b/>
      <sz val="11"/>
      <color rgb="FF0033CC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33CC"/>
      <name val="Calibri"/>
      <family val="2"/>
    </font>
    <font>
      <sz val="11"/>
      <color theme="0" tint="-0.499984740745262"/>
      <name val="Calibri"/>
      <family val="2"/>
    </font>
    <font>
      <b/>
      <sz val="14"/>
      <color theme="0" tint="-0.499984740745262"/>
      <name val="Calibri"/>
      <family val="2"/>
    </font>
    <font>
      <b/>
      <sz val="11"/>
      <color theme="0" tint="-0.499984740745262"/>
      <name val="Calibri"/>
      <family val="2"/>
    </font>
    <font>
      <sz val="9"/>
      <color rgb="FF0033CC"/>
      <name val="Calibri"/>
      <family val="2"/>
    </font>
    <font>
      <b/>
      <sz val="9"/>
      <color theme="0"/>
      <name val="Calibri"/>
      <family val="2"/>
    </font>
    <font>
      <sz val="18"/>
      <color theme="1"/>
      <name val="Calibri"/>
      <family val="2"/>
    </font>
    <font>
      <sz val="11"/>
      <color rgb="FF0033CC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gradientFill degree="90">
        <stop position="0">
          <color theme="0" tint="-0.34900967436750391"/>
        </stop>
        <stop position="1">
          <color theme="1"/>
        </stop>
      </gradient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6" tint="0.3999755851924192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4" fontId="0" fillId="0" borderId="0" xfId="1" applyFont="1" applyAlignment="1">
      <alignment horizontal="center"/>
    </xf>
    <xf numFmtId="0" fontId="7" fillId="0" borderId="0" xfId="0" applyFont="1"/>
    <xf numFmtId="9" fontId="8" fillId="0" borderId="0" xfId="2" applyFont="1" applyAlignment="1">
      <alignment horizontal="center"/>
    </xf>
    <xf numFmtId="164" fontId="12" fillId="6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5" fontId="2" fillId="3" borderId="1" xfId="0" applyNumberFormat="1" applyFont="1" applyFill="1" applyBorder="1"/>
    <xf numFmtId="165" fontId="15" fillId="0" borderId="1" xfId="1" applyNumberFormat="1" applyFont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165" fontId="3" fillId="0" borderId="1" xfId="1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6" fontId="19" fillId="5" borderId="1" xfId="2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0" fillId="2" borderId="0" xfId="0" applyFont="1" applyFill="1" applyAlignment="1">
      <alignment horizontal="left"/>
    </xf>
    <xf numFmtId="0" fontId="14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4" fontId="22" fillId="0" borderId="0" xfId="0" applyNumberFormat="1" applyFont="1"/>
    <xf numFmtId="0" fontId="21" fillId="0" borderId="0" xfId="0" applyFont="1"/>
    <xf numFmtId="0" fontId="23" fillId="0" borderId="0" xfId="0" applyFont="1"/>
    <xf numFmtId="0" fontId="21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9" fontId="2" fillId="0" borderId="0" xfId="2" applyFont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horizontal="center" vertical="center"/>
    </xf>
    <xf numFmtId="0" fontId="11" fillId="0" borderId="1" xfId="0" pivotButton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/>
    </xf>
    <xf numFmtId="18" fontId="11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20" fontId="11" fillId="0" borderId="1" xfId="0" applyNumberFormat="1" applyFont="1" applyBorder="1" applyAlignment="1">
      <alignment horizontal="center"/>
    </xf>
    <xf numFmtId="167" fontId="11" fillId="0" borderId="1" xfId="0" applyNumberFormat="1" applyFont="1" applyBorder="1" applyAlignment="1">
      <alignment horizontal="center"/>
    </xf>
    <xf numFmtId="0" fontId="9" fillId="0" borderId="0" xfId="0" applyFont="1"/>
    <xf numFmtId="0" fontId="11" fillId="0" borderId="1" xfId="0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167" fontId="25" fillId="0" borderId="1" xfId="0" applyNumberFormat="1" applyFont="1" applyBorder="1" applyAlignment="1">
      <alignment horizontal="center"/>
    </xf>
    <xf numFmtId="18" fontId="11" fillId="8" borderId="1" xfId="0" applyNumberFormat="1" applyFont="1" applyFill="1" applyBorder="1" applyAlignment="1">
      <alignment horizontal="center"/>
    </xf>
    <xf numFmtId="1" fontId="11" fillId="8" borderId="1" xfId="0" applyNumberFormat="1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 vertical="center" wrapText="1"/>
    </xf>
    <xf numFmtId="165" fontId="15" fillId="10" borderId="1" xfId="1" applyNumberFormat="1" applyFont="1" applyFill="1" applyBorder="1" applyAlignment="1">
      <alignment horizontal="center" vertical="center"/>
    </xf>
    <xf numFmtId="0" fontId="6" fillId="0" borderId="0" xfId="0" applyFont="1"/>
    <xf numFmtId="1" fontId="16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1" fontId="28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1" fontId="11" fillId="12" borderId="1" xfId="0" applyNumberFormat="1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1" fontId="16" fillId="0" borderId="3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/>
    </xf>
    <xf numFmtId="1" fontId="16" fillId="0" borderId="5" xfId="0" applyNumberFormat="1" applyFont="1" applyBorder="1" applyAlignment="1">
      <alignment horizontal="center" vertical="center"/>
    </xf>
    <xf numFmtId="0" fontId="27" fillId="9" borderId="12" xfId="0" applyFont="1" applyFill="1" applyBorder="1" applyAlignment="1">
      <alignment horizontal="center" vertical="center" wrapText="1"/>
    </xf>
    <xf numFmtId="0" fontId="27" fillId="9" borderId="13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11" fillId="12" borderId="15" xfId="0" applyFont="1" applyFill="1" applyBorder="1" applyAlignment="1">
      <alignment horizontal="center" vertical="center"/>
    </xf>
    <xf numFmtId="1" fontId="11" fillId="12" borderId="15" xfId="0" applyNumberFormat="1" applyFont="1" applyFill="1" applyBorder="1" applyAlignment="1">
      <alignment horizontal="center" vertical="center"/>
    </xf>
    <xf numFmtId="164" fontId="28" fillId="0" borderId="10" xfId="0" applyNumberFormat="1" applyFont="1" applyBorder="1" applyAlignment="1">
      <alignment horizontal="center"/>
    </xf>
    <xf numFmtId="1" fontId="27" fillId="0" borderId="11" xfId="0" applyNumberFormat="1" applyFont="1" applyBorder="1" applyAlignment="1">
      <alignment horizontal="center"/>
    </xf>
    <xf numFmtId="0" fontId="16" fillId="9" borderId="12" xfId="0" applyFont="1" applyFill="1" applyBorder="1" applyAlignment="1">
      <alignment horizontal="center" vertical="center"/>
    </xf>
    <xf numFmtId="0" fontId="16" fillId="12" borderId="13" xfId="0" applyFont="1" applyFill="1" applyBorder="1" applyAlignment="1">
      <alignment horizontal="center" vertical="center"/>
    </xf>
    <xf numFmtId="1" fontId="16" fillId="12" borderId="14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" fontId="16" fillId="0" borderId="5" xfId="0" applyNumberFormat="1" applyFont="1" applyBorder="1" applyAlignment="1">
      <alignment horizontal="center"/>
    </xf>
    <xf numFmtId="0" fontId="16" fillId="11" borderId="12" xfId="0" applyFont="1" applyFill="1" applyBorder="1" applyAlignment="1">
      <alignment horizontal="center" vertical="center" wrapText="1"/>
    </xf>
    <xf numFmtId="0" fontId="16" fillId="11" borderId="13" xfId="0" applyFont="1" applyFill="1" applyBorder="1" applyAlignment="1">
      <alignment horizontal="center" vertical="center" wrapText="1"/>
    </xf>
    <xf numFmtId="0" fontId="6" fillId="11" borderId="14" xfId="0" applyFont="1" applyFill="1" applyBorder="1" applyAlignment="1">
      <alignment horizontal="center" vertical="center" wrapText="1"/>
    </xf>
    <xf numFmtId="0" fontId="11" fillId="12" borderId="6" xfId="0" applyFont="1" applyFill="1" applyBorder="1" applyAlignment="1">
      <alignment horizontal="center"/>
    </xf>
    <xf numFmtId="0" fontId="11" fillId="12" borderId="15" xfId="0" applyFont="1" applyFill="1" applyBorder="1" applyAlignment="1">
      <alignment horizontal="center"/>
    </xf>
    <xf numFmtId="1" fontId="16" fillId="12" borderId="16" xfId="0" applyNumberFormat="1" applyFont="1" applyFill="1" applyBorder="1" applyAlignment="1">
      <alignment horizontal="center"/>
    </xf>
    <xf numFmtId="0" fontId="11" fillId="12" borderId="10" xfId="0" applyFont="1" applyFill="1" applyBorder="1" applyAlignment="1">
      <alignment horizontal="center"/>
    </xf>
    <xf numFmtId="1" fontId="16" fillId="12" borderId="11" xfId="0" applyNumberFormat="1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1" fontId="16" fillId="0" borderId="11" xfId="0" applyNumberFormat="1" applyFont="1" applyBorder="1" applyAlignment="1">
      <alignment horizontal="center"/>
    </xf>
    <xf numFmtId="0" fontId="16" fillId="7" borderId="12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/>
    </xf>
    <xf numFmtId="164" fontId="11" fillId="0" borderId="10" xfId="0" applyNumberFormat="1" applyFont="1" applyBorder="1" applyAlignment="1">
      <alignment horizontal="center" vertical="center"/>
    </xf>
    <xf numFmtId="1" fontId="16" fillId="0" borderId="11" xfId="0" applyNumberFormat="1" applyFont="1" applyBorder="1" applyAlignment="1">
      <alignment horizontal="center" vertical="center"/>
    </xf>
    <xf numFmtId="164" fontId="16" fillId="9" borderId="12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1" fontId="6" fillId="12" borderId="14" xfId="0" applyNumberFormat="1" applyFont="1" applyFill="1" applyBorder="1" applyAlignment="1">
      <alignment horizontal="center" vertical="center"/>
    </xf>
    <xf numFmtId="0" fontId="25" fillId="7" borderId="3" xfId="0" applyFont="1" applyFill="1" applyBorder="1" applyAlignment="1">
      <alignment horizontal="center" vertical="center" wrapText="1"/>
    </xf>
    <xf numFmtId="164" fontId="11" fillId="10" borderId="1" xfId="0" applyNumberFormat="1" applyFont="1" applyFill="1" applyBorder="1" applyAlignment="1">
      <alignment horizontal="center"/>
    </xf>
    <xf numFmtId="18" fontId="11" fillId="10" borderId="1" xfId="0" applyNumberFormat="1" applyFont="1" applyFill="1" applyBorder="1" applyAlignment="1">
      <alignment horizontal="center"/>
    </xf>
    <xf numFmtId="1" fontId="11" fillId="10" borderId="1" xfId="0" applyNumberFormat="1" applyFont="1" applyFill="1" applyBorder="1" applyAlignment="1">
      <alignment horizontal="center"/>
    </xf>
    <xf numFmtId="20" fontId="11" fillId="10" borderId="1" xfId="0" applyNumberFormat="1" applyFont="1" applyFill="1" applyBorder="1" applyAlignment="1">
      <alignment horizontal="center"/>
    </xf>
    <xf numFmtId="167" fontId="11" fillId="10" borderId="1" xfId="0" applyNumberFormat="1" applyFont="1" applyFill="1" applyBorder="1" applyAlignment="1">
      <alignment horizontal="center"/>
    </xf>
    <xf numFmtId="167" fontId="25" fillId="10" borderId="1" xfId="0" applyNumberFormat="1" applyFont="1" applyFill="1" applyBorder="1" applyAlignment="1">
      <alignment horizontal="center"/>
    </xf>
    <xf numFmtId="0" fontId="0" fillId="0" borderId="1" xfId="0" applyBorder="1"/>
    <xf numFmtId="9" fontId="9" fillId="0" borderId="1" xfId="2" applyFont="1" applyBorder="1" applyAlignment="1"/>
    <xf numFmtId="44" fontId="10" fillId="0" borderId="1" xfId="0" applyNumberFormat="1" applyFont="1" applyBorder="1"/>
    <xf numFmtId="0" fontId="16" fillId="0" borderId="0" xfId="0" applyFont="1" applyAlignment="1">
      <alignment horizontal="center" vertical="center"/>
    </xf>
    <xf numFmtId="0" fontId="6" fillId="13" borderId="3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0" fillId="12" borderId="5" xfId="0" applyFont="1" applyFill="1" applyBorder="1" applyAlignment="1">
      <alignment horizontal="center" vertical="center"/>
    </xf>
    <xf numFmtId="0" fontId="30" fillId="12" borderId="1" xfId="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6" fillId="0" borderId="23" xfId="0" applyFont="1" applyBorder="1"/>
    <xf numFmtId="0" fontId="0" fillId="0" borderId="0" xfId="0" applyAlignment="1">
      <alignment horizontal="center" vertical="center"/>
    </xf>
    <xf numFmtId="9" fontId="6" fillId="0" borderId="0" xfId="2" applyFont="1" applyAlignment="1">
      <alignment horizontal="center" vertical="center"/>
    </xf>
    <xf numFmtId="9" fontId="6" fillId="0" borderId="24" xfId="2" applyFont="1" applyBorder="1" applyAlignment="1">
      <alignment horizontal="center" vertical="center"/>
    </xf>
    <xf numFmtId="1" fontId="16" fillId="4" borderId="1" xfId="0" applyNumberFormat="1" applyFont="1" applyFill="1" applyBorder="1" applyAlignment="1">
      <alignment horizontal="center"/>
    </xf>
    <xf numFmtId="164" fontId="33" fillId="0" borderId="1" xfId="0" applyNumberFormat="1" applyFont="1" applyBorder="1" applyAlignment="1">
      <alignment horizontal="center"/>
    </xf>
    <xf numFmtId="18" fontId="33" fillId="0" borderId="1" xfId="0" applyNumberFormat="1" applyFont="1" applyBorder="1" applyAlignment="1">
      <alignment horizontal="center"/>
    </xf>
    <xf numFmtId="1" fontId="33" fillId="0" borderId="1" xfId="0" applyNumberFormat="1" applyFont="1" applyBorder="1" applyAlignment="1">
      <alignment horizontal="center"/>
    </xf>
    <xf numFmtId="20" fontId="33" fillId="0" borderId="1" xfId="0" applyNumberFormat="1" applyFont="1" applyBorder="1" applyAlignment="1">
      <alignment horizontal="center"/>
    </xf>
    <xf numFmtId="167" fontId="33" fillId="0" borderId="1" xfId="0" applyNumberFormat="1" applyFont="1" applyBorder="1" applyAlignment="1">
      <alignment horizontal="center"/>
    </xf>
    <xf numFmtId="164" fontId="30" fillId="0" borderId="10" xfId="0" applyNumberFormat="1" applyFont="1" applyBorder="1" applyAlignment="1">
      <alignment horizontal="center" vertical="center"/>
    </xf>
    <xf numFmtId="1" fontId="11" fillId="12" borderId="1" xfId="0" applyNumberFormat="1" applyFont="1" applyFill="1" applyBorder="1" applyAlignment="1">
      <alignment horizontal="center"/>
    </xf>
    <xf numFmtId="164" fontId="11" fillId="0" borderId="4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" fontId="16" fillId="0" borderId="15" xfId="0" applyNumberFormat="1" applyFont="1" applyBorder="1" applyAlignment="1">
      <alignment horizontal="center" vertical="center"/>
    </xf>
    <xf numFmtId="1" fontId="11" fillId="12" borderId="15" xfId="0" applyNumberFormat="1" applyFont="1" applyFill="1" applyBorder="1" applyAlignment="1">
      <alignment horizontal="center"/>
    </xf>
    <xf numFmtId="164" fontId="11" fillId="0" borderId="25" xfId="0" applyNumberFormat="1" applyFont="1" applyBorder="1" applyAlignment="1">
      <alignment horizontal="center" vertical="center"/>
    </xf>
    <xf numFmtId="1" fontId="16" fillId="0" borderId="4" xfId="0" applyNumberFormat="1" applyFont="1" applyBorder="1" applyAlignment="1">
      <alignment horizontal="center" vertical="center"/>
    </xf>
    <xf numFmtId="1" fontId="16" fillId="0" borderId="16" xfId="0" applyNumberFormat="1" applyFont="1" applyBorder="1" applyAlignment="1">
      <alignment horizontal="center" vertical="center"/>
    </xf>
    <xf numFmtId="1" fontId="16" fillId="0" borderId="26" xfId="0" applyNumberFormat="1" applyFont="1" applyBorder="1" applyAlignment="1">
      <alignment horizontal="center" vertical="center"/>
    </xf>
    <xf numFmtId="14" fontId="11" fillId="0" borderId="0" xfId="0" applyNumberFormat="1" applyFont="1" applyAlignment="1">
      <alignment horizontal="center"/>
    </xf>
    <xf numFmtId="0" fontId="2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right"/>
    </xf>
    <xf numFmtId="1" fontId="6" fillId="12" borderId="13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indent="1"/>
    </xf>
    <xf numFmtId="0" fontId="33" fillId="0" borderId="1" xfId="0" applyFont="1" applyBorder="1" applyAlignment="1">
      <alignment horizontal="center"/>
    </xf>
    <xf numFmtId="1" fontId="33" fillId="4" borderId="1" xfId="0" applyNumberFormat="1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0" fontId="9" fillId="10" borderId="1" xfId="0" applyFont="1" applyFill="1" applyBorder="1" applyAlignment="1">
      <alignment horizontal="center" wrapText="1"/>
    </xf>
    <xf numFmtId="0" fontId="34" fillId="2" borderId="27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28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0" fillId="0" borderId="29" xfId="0" applyBorder="1"/>
    <xf numFmtId="9" fontId="0" fillId="0" borderId="29" xfId="2" applyFont="1" applyBorder="1" applyAlignment="1">
      <alignment horizontal="center"/>
    </xf>
    <xf numFmtId="0" fontId="0" fillId="0" borderId="29" xfId="0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7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0033CC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33CC"/>
      </font>
    </dxf>
    <dxf>
      <font>
        <b/>
        <i val="0"/>
        <color rgb="FF0033CC"/>
      </font>
    </dxf>
    <dxf>
      <alignment wrapText="1"/>
    </dxf>
    <dxf>
      <font>
        <b/>
      </font>
    </dxf>
    <dxf>
      <font>
        <b/>
      </font>
    </dxf>
    <dxf>
      <numFmt numFmtId="1" formatCode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7" formatCode="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7" formatCode="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25" formatCode="h: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25" formatCode="h: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23" formatCode="h:mm\ AM/P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23" formatCode="h:mm\ AM/P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4" formatCode="[$-C09]dd\-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33CC"/>
      <color rgb="FFFFF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63501</xdr:rowOff>
    </xdr:from>
    <xdr:ext cx="1439334" cy="569046"/>
    <xdr:pic>
      <xdr:nvPicPr>
        <xdr:cNvPr id="2" name="Picture 1">
          <a:extLst>
            <a:ext uri="{FF2B5EF4-FFF2-40B4-BE49-F238E27FC236}">
              <a16:creationId xmlns:a16="http://schemas.microsoft.com/office/drawing/2014/main" id="{429F16AB-34AC-4171-B78E-0C254953F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63501"/>
          <a:ext cx="1439334" cy="569046"/>
        </a:xfrm>
        <a:prstGeom prst="rect">
          <a:avLst/>
        </a:prstGeom>
      </xdr:spPr>
    </xdr:pic>
    <xdr:clientData/>
  </xdr:oneCellAnchor>
  <xdr:twoCellAnchor>
    <xdr:from>
      <xdr:col>16</xdr:col>
      <xdr:colOff>285750</xdr:colOff>
      <xdr:row>4</xdr:row>
      <xdr:rowOff>42334</xdr:rowOff>
    </xdr:from>
    <xdr:to>
      <xdr:col>16</xdr:col>
      <xdr:colOff>285750</xdr:colOff>
      <xdr:row>4</xdr:row>
      <xdr:rowOff>127000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C8E5F1A-2EA3-3EEB-F941-E20F915B44B3}"/>
            </a:ext>
          </a:extLst>
        </xdr:cNvPr>
        <xdr:cNvCxnSpPr/>
      </xdr:nvCxnSpPr>
      <xdr:spPr>
        <a:xfrm>
          <a:off x="10149417" y="783167"/>
          <a:ext cx="0" cy="8466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4</xdr:row>
      <xdr:rowOff>0</xdr:rowOff>
    </xdr:from>
    <xdr:to>
      <xdr:col>19</xdr:col>
      <xdr:colOff>512691</xdr:colOff>
      <xdr:row>25</xdr:row>
      <xdr:rowOff>11106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B8F70A-710E-8D46-8C3B-F5581ACDD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39917" y="762000"/>
          <a:ext cx="4809524" cy="4276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254000</xdr:colOff>
      <xdr:row>1</xdr:row>
      <xdr:rowOff>127000</xdr:rowOff>
    </xdr:from>
    <xdr:to>
      <xdr:col>18</xdr:col>
      <xdr:colOff>148167</xdr:colOff>
      <xdr:row>4</xdr:row>
      <xdr:rowOff>105833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2766ADDF-995B-7DF0-5C02-5266D46A3E5B}"/>
            </a:ext>
          </a:extLst>
        </xdr:cNvPr>
        <xdr:cNvSpPr/>
      </xdr:nvSpPr>
      <xdr:spPr>
        <a:xfrm>
          <a:off x="9419167" y="317500"/>
          <a:ext cx="1121833" cy="55033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296333</xdr:colOff>
      <xdr:row>1</xdr:row>
      <xdr:rowOff>95250</xdr:rowOff>
    </xdr:from>
    <xdr:to>
      <xdr:col>32</xdr:col>
      <xdr:colOff>465666</xdr:colOff>
      <xdr:row>4</xdr:row>
      <xdr:rowOff>74083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68C72547-ED69-4BC0-ABD4-E529699C184F}"/>
            </a:ext>
          </a:extLst>
        </xdr:cNvPr>
        <xdr:cNvSpPr/>
      </xdr:nvSpPr>
      <xdr:spPr>
        <a:xfrm>
          <a:off x="17145000" y="285750"/>
          <a:ext cx="1121833" cy="55033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rry Taylor" refreshedDate="46060.671313541665" createdVersion="8" refreshedVersion="8" minRefreshableVersion="3" recordCount="817" xr:uid="{E806606E-20BB-45B8-B619-EDAF2753E6FB}">
  <cacheSource type="worksheet">
    <worksheetSource name="Table13232"/>
  </cacheSource>
  <cacheFields count="25">
    <cacheField name="Date" numFmtId="164">
      <sharedItems containsSemiMixedTypes="0" containsNonDate="0" containsDate="1" containsString="0" minDate="2025-01-04T00:00:00" maxDate="2026-02-08T00:00:00" count="62">
        <d v="2025-01-04T00:00:00"/>
        <d v="2025-01-11T00:00:00"/>
        <d v="2025-01-18T00:00:00"/>
        <d v="2025-01-25T00:00:00"/>
        <d v="2025-02-01T00:00:00"/>
        <d v="2025-02-08T00:00:00"/>
        <d v="2025-02-15T00:00:00"/>
        <d v="2025-02-22T00:00:00"/>
        <d v="2025-03-01T00:00:00"/>
        <d v="2025-03-08T00:00:00"/>
        <d v="2025-03-15T00:00:00"/>
        <d v="2025-03-22T00:00:00"/>
        <d v="2025-03-29T00:00:00"/>
        <d v="2025-04-05T00:00:00"/>
        <d v="2025-04-12T00:00:00"/>
        <d v="2025-04-19T00:00:00"/>
        <d v="2025-04-26T00:00:00"/>
        <d v="2025-05-03T00:00:00"/>
        <d v="2025-05-10T00:00:00"/>
        <d v="2025-05-17T00:00:00"/>
        <d v="2025-05-24T00:00:00"/>
        <d v="2025-05-31T00:00:00"/>
        <d v="2025-06-07T00:00:00"/>
        <d v="2025-06-14T00:00:00"/>
        <d v="2025-06-21T00:00:00"/>
        <d v="2025-06-28T00:00:00"/>
        <d v="2025-07-05T00:00:00"/>
        <d v="2025-07-12T00:00:00"/>
        <d v="2025-07-19T00:00:00"/>
        <d v="2025-07-26T00:00:00"/>
        <d v="2025-08-02T00:00:00"/>
        <d v="2025-08-09T00:00:00"/>
        <d v="2025-08-16T00:00:00"/>
        <d v="2025-08-23T00:00:00"/>
        <d v="2025-08-30T00:00:00"/>
        <d v="2025-09-06T00:00:00"/>
        <d v="2025-09-13T00:00:00"/>
        <d v="2025-09-20T00:00:00"/>
        <d v="2025-09-26T00:00:00"/>
        <d v="2025-09-27T00:00:00"/>
        <d v="2025-10-04T00:00:00"/>
        <d v="2025-10-11T00:00:00"/>
        <d v="2025-10-18T00:00:00"/>
        <d v="2025-10-25T00:00:00"/>
        <d v="2025-11-01T00:00:00"/>
        <d v="2025-11-04T00:00:00"/>
        <d v="2025-11-06T00:00:00"/>
        <d v="2025-11-08T00:00:00"/>
        <d v="2025-11-15T00:00:00"/>
        <d v="2025-11-22T00:00:00"/>
        <d v="2025-11-29T00:00:00"/>
        <d v="2025-12-06T00:00:00"/>
        <d v="2025-12-07T00:00:00"/>
        <d v="2025-12-13T00:00:00"/>
        <d v="2025-12-20T00:00:00"/>
        <d v="2025-12-27T00:00:00"/>
        <d v="2026-01-03T00:00:00"/>
        <d v="2026-01-10T00:00:00"/>
        <d v="2026-01-17T00:00:00"/>
        <d v="2026-01-24T00:00:00"/>
        <d v="2026-01-31T00:00:00"/>
        <d v="2026-02-07T00:00:00"/>
      </sharedItems>
      <fieldGroup par="24"/>
    </cacheField>
    <cacheField name="Time" numFmtId="18">
      <sharedItems containsSemiMixedTypes="0" containsNonDate="0" containsDate="1" containsString="0" minDate="1899-12-30T11:05:00" maxDate="1899-12-30T21:45:00"/>
    </cacheField>
    <cacheField name="Track" numFmtId="18">
      <sharedItems count="34">
        <s v="Randwick"/>
        <s v="Geelong"/>
        <s v="Flemington"/>
        <s v="Wyong"/>
        <s v="Eagle Farm"/>
        <s v="Rosehill"/>
        <s v="Sandown Lake"/>
        <s v="Doomben"/>
        <s v="Sandown Hill"/>
        <s v="Caulfield"/>
        <s v="Moonee Valley"/>
        <s v="Bendigo"/>
        <s v="Mornington"/>
        <s v="Hawkesbury"/>
        <s v="Gosford"/>
        <s v="Scone"/>
        <s v="Ipswich"/>
        <s v="Flem-X"/>
        <s v="Newcastle"/>
        <s v="Cran"/>
        <s v="Kembla Grange"/>
        <s v="Ballarat"/>
        <s v="Ball"/>
        <s v="Pak"/>
        <s v="CauH"/>
        <s v="Caulfield Heath"/>
        <s v="Cranbourne"/>
        <s v="Flem"/>
        <s v="Cau"/>
        <s v="San-L" u="1"/>
        <s v="MV" u="1"/>
        <s v="Bend" u="1"/>
        <s v="Morn" u="1"/>
        <s v="San-H" u="1"/>
      </sharedItems>
    </cacheField>
    <cacheField name="Race" numFmtId="1">
      <sharedItems containsSemiMixedTypes="0" containsString="0" containsNumber="1" minValue="1" maxValue="13"/>
    </cacheField>
    <cacheField name="TAB" numFmtId="1">
      <sharedItems containsSemiMixedTypes="0" containsString="0" containsNumber="1" containsInteger="1" minValue="1" maxValue="19"/>
    </cacheField>
    <cacheField name="Horse" numFmtId="20">
      <sharedItems/>
    </cacheField>
    <cacheField name="Fin" numFmtId="20">
      <sharedItems containsBlank="1"/>
    </cacheField>
    <cacheField name="Div" numFmtId="167">
      <sharedItems containsString="0" containsBlank="1" containsNumber="1" minValue="1" maxValue="16"/>
    </cacheField>
    <cacheField name="Algorithm" numFmtId="167">
      <sharedItems count="2">
        <s v="Elite Combo "/>
        <s v="Nat-Best"/>
      </sharedItems>
    </cacheField>
    <cacheField name="State" numFmtId="1">
      <sharedItems count="4">
        <s v="NSW"/>
        <s v="Vic"/>
        <s v="Qld"/>
        <e v="#N/A" u="1"/>
      </sharedItems>
    </cacheField>
    <cacheField name="Lev Bet" numFmtId="0">
      <sharedItems containsSemiMixedTypes="0" containsString="0" containsNumber="1" containsInteger="1" minValue="100" maxValue="100"/>
    </cacheField>
    <cacheField name="Lev Ret" numFmtId="1">
      <sharedItems containsMixedTypes="1" containsNumber="1" minValue="130" maxValue="1600"/>
    </cacheField>
    <cacheField name="Lev Profit" numFmtId="1">
      <sharedItems containsSemiMixedTypes="0" containsString="0" containsNumber="1" minValue="-100" maxValue="1500"/>
    </cacheField>
    <cacheField name="Nat and Combo Bet" numFmtId="1">
      <sharedItems containsSemiMixedTypes="0" containsString="0" containsNumber="1" containsInteger="1" minValue="50" maxValue="200" count="8">
        <n v="100"/>
        <n v="200"/>
        <n v="120"/>
        <n v="150"/>
        <n v="50"/>
        <n v="160"/>
        <n v="140"/>
        <n v="130"/>
      </sharedItems>
    </cacheField>
    <cacheField name="Nat and Combo Return" numFmtId="1">
      <sharedItems containsMixedTypes="1" containsNumber="1" minValue="80" maxValue="3200"/>
    </cacheField>
    <cacheField name="Nat and Combo Profit" numFmtId="1">
      <sharedItems containsSemiMixedTypes="0" containsString="0" containsNumber="1" minValue="-200" maxValue="3000"/>
    </cacheField>
    <cacheField name="Dual Listing" numFmtId="1">
      <sharedItems containsSemiMixedTypes="0" containsString="0" containsNumber="1" containsInteger="1" minValue="1" maxValue="2" count="2">
        <n v="1"/>
        <n v="2"/>
      </sharedItems>
    </cacheField>
    <cacheField name="Average Dual Listing Bet" numFmtId="1">
      <sharedItems containsMixedTypes="1" containsNumber="1" containsInteger="1" minValue="50" maxValue="200"/>
    </cacheField>
    <cacheField name="Average Dual Listing RET" numFmtId="1">
      <sharedItems containsMixedTypes="1" containsNumber="1" minValue="80" maxValue="3200"/>
    </cacheField>
    <cacheField name="Average Dual Listing PROFIT" numFmtId="1">
      <sharedItems containsMixedTypes="1" containsNumber="1" minValue="-200" maxValue="3000"/>
    </cacheField>
    <cacheField name="Live Current Algo" numFmtId="1">
      <sharedItems count="2">
        <s v=""/>
        <s v="Live"/>
      </sharedItems>
    </cacheField>
    <cacheField name="Day" numFmtId="1">
      <sharedItems/>
    </cacheField>
    <cacheField name="Trim Proper" numFmtId="1">
      <sharedItems/>
    </cacheField>
    <cacheField name="Months (Date)" numFmtId="0" databaseField="0">
      <fieldGroup base="0">
        <rangePr groupBy="months" startDate="2025-01-04T00:00:00" endDate="2026-02-08T00:00:00"/>
        <groupItems count="14">
          <s v="&lt;4/01/2025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8/02/2026"/>
        </groupItems>
      </fieldGroup>
    </cacheField>
    <cacheField name="Years (Date)" numFmtId="0" databaseField="0">
      <fieldGroup base="0">
        <rangePr groupBy="years" startDate="2025-01-04T00:00:00" endDate="2026-02-08T00:00:00"/>
        <groupItems count="4">
          <s v="&lt;4/01/2025"/>
          <s v="2025"/>
          <s v="2026"/>
          <s v="&gt;8/02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17">
  <r>
    <x v="0"/>
    <d v="1899-12-30T13:10:00"/>
    <x v="0"/>
    <n v="2"/>
    <n v="10"/>
    <s v="Zoukerino"/>
    <m/>
    <m/>
    <x v="0"/>
    <x v="0"/>
    <n v="100"/>
    <s v=""/>
    <n v="-100"/>
    <x v="0"/>
    <s v=""/>
    <n v="-100"/>
    <x v="0"/>
    <n v="100"/>
    <s v=""/>
    <n v="-100"/>
    <x v="0"/>
    <s v="Sat"/>
    <s v="Zoukerino"/>
  </r>
  <r>
    <x v="0"/>
    <d v="1899-12-30T14:35:00"/>
    <x v="1"/>
    <n v="5"/>
    <n v="1"/>
    <s v="Bellinger"/>
    <m/>
    <m/>
    <x v="0"/>
    <x v="1"/>
    <n v="100"/>
    <s v=""/>
    <n v="-100"/>
    <x v="0"/>
    <s v=""/>
    <n v="-100"/>
    <x v="0"/>
    <n v="100"/>
    <s v=""/>
    <n v="-100"/>
    <x v="0"/>
    <s v="Sat"/>
    <s v="Bellinger"/>
  </r>
  <r>
    <x v="0"/>
    <d v="1899-12-30T14:35:00"/>
    <x v="1"/>
    <n v="5"/>
    <n v="8"/>
    <s v="Title Fighter"/>
    <s v="1st"/>
    <n v="3.2"/>
    <x v="0"/>
    <x v="1"/>
    <n v="100"/>
    <n v="320"/>
    <n v="220"/>
    <x v="0"/>
    <n v="320"/>
    <n v="220"/>
    <x v="0"/>
    <n v="100"/>
    <n v="320"/>
    <n v="220"/>
    <x v="0"/>
    <s v="Sat"/>
    <s v="Title Fighter"/>
  </r>
  <r>
    <x v="0"/>
    <d v="1899-12-30T14:55:00"/>
    <x v="0"/>
    <n v="5"/>
    <n v="13"/>
    <s v="Perfumist"/>
    <s v="1st"/>
    <n v="3.7"/>
    <x v="0"/>
    <x v="0"/>
    <n v="100"/>
    <n v="370"/>
    <n v="270"/>
    <x v="1"/>
    <n v="740"/>
    <n v="540"/>
    <x v="0"/>
    <n v="200"/>
    <n v="740"/>
    <n v="540"/>
    <x v="0"/>
    <s v="Sat"/>
    <s v="Perfumist"/>
  </r>
  <r>
    <x v="0"/>
    <d v="1899-12-30T15:15:00"/>
    <x v="1"/>
    <n v="6"/>
    <n v="2"/>
    <s v="Robrick"/>
    <m/>
    <m/>
    <x v="0"/>
    <x v="1"/>
    <n v="100"/>
    <s v=""/>
    <n v="-100"/>
    <x v="2"/>
    <s v=""/>
    <n v="-120"/>
    <x v="0"/>
    <n v="120"/>
    <s v=""/>
    <n v="-120"/>
    <x v="0"/>
    <s v="Sat"/>
    <s v="Robrick"/>
  </r>
  <r>
    <x v="0"/>
    <d v="1899-12-30T16:15:00"/>
    <x v="0"/>
    <n v="7"/>
    <n v="7"/>
    <s v="Disneck"/>
    <s v="1st"/>
    <n v="2.2000000000000002"/>
    <x v="0"/>
    <x v="0"/>
    <n v="100"/>
    <n v="220.00000000000003"/>
    <n v="120.00000000000003"/>
    <x v="1"/>
    <n v="440.00000000000006"/>
    <n v="240.00000000000006"/>
    <x v="0"/>
    <n v="200"/>
    <n v="440.00000000000006"/>
    <n v="240.00000000000006"/>
    <x v="0"/>
    <s v="Sat"/>
    <s v="Disneck"/>
  </r>
  <r>
    <x v="0"/>
    <d v="1899-12-30T16:55:00"/>
    <x v="0"/>
    <n v="8"/>
    <n v="2"/>
    <s v="Unlimited"/>
    <s v="1st"/>
    <n v="8.9"/>
    <x v="0"/>
    <x v="0"/>
    <n v="100"/>
    <n v="890"/>
    <n v="790"/>
    <x v="0"/>
    <n v="890"/>
    <n v="790"/>
    <x v="0"/>
    <n v="100"/>
    <n v="890"/>
    <n v="790"/>
    <x v="0"/>
    <s v="Sat"/>
    <s v="Unlimited"/>
  </r>
  <r>
    <x v="0"/>
    <d v="1899-12-30T17:15:00"/>
    <x v="1"/>
    <n v="9"/>
    <n v="11"/>
    <s v="Romantic Choice"/>
    <s v="1st"/>
    <n v="16"/>
    <x v="1"/>
    <x v="1"/>
    <n v="100"/>
    <n v="1600"/>
    <n v="1500"/>
    <x v="1"/>
    <n v="3200"/>
    <n v="3000"/>
    <x v="0"/>
    <n v="200"/>
    <n v="3200"/>
    <n v="3000"/>
    <x v="0"/>
    <s v="Sat"/>
    <s v="Romantic Choice"/>
  </r>
  <r>
    <x v="0"/>
    <d v="1899-12-30T17:35:00"/>
    <x v="0"/>
    <n v="9"/>
    <n v="4"/>
    <s v="Boston Rocks"/>
    <s v="3rd"/>
    <m/>
    <x v="0"/>
    <x v="0"/>
    <n v="100"/>
    <s v=""/>
    <n v="-100"/>
    <x v="3"/>
    <s v=""/>
    <n v="-150"/>
    <x v="0"/>
    <n v="150"/>
    <s v=""/>
    <n v="-150"/>
    <x v="0"/>
    <s v="Sat"/>
    <s v="Boston Rocks"/>
  </r>
  <r>
    <x v="0"/>
    <d v="1899-12-30T17:55:00"/>
    <x v="1"/>
    <n v="10"/>
    <n v="3"/>
    <s v="Miss Altair"/>
    <m/>
    <m/>
    <x v="0"/>
    <x v="1"/>
    <n v="100"/>
    <s v=""/>
    <n v="-100"/>
    <x v="4"/>
    <s v=""/>
    <n v="-50"/>
    <x v="0"/>
    <n v="50"/>
    <s v=""/>
    <n v="-50"/>
    <x v="0"/>
    <s v="Sat"/>
    <s v="Miss Altair"/>
  </r>
  <r>
    <x v="0"/>
    <d v="1899-12-30T18:10:00"/>
    <x v="0"/>
    <n v="10"/>
    <n v="6"/>
    <s v="Monarchs Brae"/>
    <m/>
    <m/>
    <x v="0"/>
    <x v="0"/>
    <n v="100"/>
    <s v=""/>
    <n v="-100"/>
    <x v="0"/>
    <s v=""/>
    <n v="-100"/>
    <x v="0"/>
    <n v="100"/>
    <s v=""/>
    <n v="-100"/>
    <x v="0"/>
    <s v="Sat"/>
    <s v="Monarchs Brae"/>
  </r>
  <r>
    <x v="1"/>
    <d v="1899-12-30T12:20:00"/>
    <x v="2"/>
    <n v="1"/>
    <n v="3"/>
    <s v="Xarpo"/>
    <s v="3rd"/>
    <m/>
    <x v="0"/>
    <x v="1"/>
    <n v="100"/>
    <s v=""/>
    <n v="-100"/>
    <x v="4"/>
    <s v=""/>
    <n v="-50"/>
    <x v="1"/>
    <n v="75"/>
    <s v=""/>
    <n v="-75"/>
    <x v="0"/>
    <s v="Sat"/>
    <s v="Xarpo"/>
  </r>
  <r>
    <x v="1"/>
    <d v="1899-12-30T12:20:00"/>
    <x v="2"/>
    <n v="1"/>
    <n v="3"/>
    <s v="Xarpo"/>
    <s v="3rd"/>
    <m/>
    <x v="1"/>
    <x v="1"/>
    <n v="100"/>
    <s v=""/>
    <n v="-100"/>
    <x v="0"/>
    <s v=""/>
    <n v="-100"/>
    <x v="0"/>
    <s v=""/>
    <s v=""/>
    <s v=""/>
    <x v="0"/>
    <s v="Sat"/>
    <s v="Xarpo"/>
  </r>
  <r>
    <x v="1"/>
    <d v="1899-12-30T13:23:00"/>
    <x v="2"/>
    <n v="3"/>
    <n v="2"/>
    <s v="Keep Your Cool"/>
    <m/>
    <m/>
    <x v="0"/>
    <x v="1"/>
    <n v="100"/>
    <s v=""/>
    <n v="-100"/>
    <x v="3"/>
    <s v=""/>
    <n v="-150"/>
    <x v="0"/>
    <n v="150"/>
    <s v=""/>
    <n v="-150"/>
    <x v="0"/>
    <s v="Sat"/>
    <s v="Keep Your Cool"/>
  </r>
  <r>
    <x v="1"/>
    <d v="1899-12-30T13:23:00"/>
    <x v="2"/>
    <n v="3"/>
    <n v="1"/>
    <s v="Smokin' Princess"/>
    <s v="1st"/>
    <n v="3.2"/>
    <x v="0"/>
    <x v="1"/>
    <n v="100"/>
    <n v="320"/>
    <n v="220"/>
    <x v="3"/>
    <n v="480"/>
    <n v="330"/>
    <x v="0"/>
    <n v="150"/>
    <n v="480"/>
    <n v="330"/>
    <x v="0"/>
    <s v="Sat"/>
    <s v="Smokin' Princess"/>
  </r>
  <r>
    <x v="1"/>
    <d v="1899-12-30T13:58:00"/>
    <x v="2"/>
    <n v="4"/>
    <n v="5"/>
    <s v="Flamin' Romans"/>
    <m/>
    <m/>
    <x v="0"/>
    <x v="1"/>
    <n v="100"/>
    <s v=""/>
    <n v="-100"/>
    <x v="5"/>
    <s v=""/>
    <n v="-160"/>
    <x v="0"/>
    <n v="160"/>
    <s v=""/>
    <n v="-160"/>
    <x v="0"/>
    <s v="Sat"/>
    <s v="Flamin' Romans"/>
  </r>
  <r>
    <x v="1"/>
    <d v="1899-12-30T13:58:00"/>
    <x v="2"/>
    <n v="4"/>
    <n v="1"/>
    <s v="Taramansour"/>
    <s v="1st"/>
    <n v="5.5"/>
    <x v="0"/>
    <x v="1"/>
    <n v="100"/>
    <n v="550"/>
    <n v="450"/>
    <x v="3"/>
    <n v="825"/>
    <n v="675"/>
    <x v="0"/>
    <n v="150"/>
    <n v="825"/>
    <n v="675"/>
    <x v="0"/>
    <s v="Sat"/>
    <s v="Taramansour"/>
  </r>
  <r>
    <x v="1"/>
    <d v="1899-12-30T15:08:00"/>
    <x v="2"/>
    <n v="6"/>
    <n v="7"/>
    <s v="La Fracas"/>
    <s v="2nd"/>
    <m/>
    <x v="1"/>
    <x v="1"/>
    <n v="100"/>
    <s v=""/>
    <n v="-100"/>
    <x v="0"/>
    <s v=""/>
    <n v="-100"/>
    <x v="0"/>
    <n v="100"/>
    <s v=""/>
    <n v="-100"/>
    <x v="0"/>
    <s v="Sat"/>
    <s v="La Fracas"/>
  </r>
  <r>
    <x v="1"/>
    <d v="1899-12-30T16:05:00"/>
    <x v="3"/>
    <n v="7"/>
    <n v="8"/>
    <s v="Unlimited"/>
    <s v="2nd"/>
    <m/>
    <x v="0"/>
    <x v="0"/>
    <n v="100"/>
    <s v=""/>
    <n v="-100"/>
    <x v="3"/>
    <s v=""/>
    <n v="-150"/>
    <x v="0"/>
    <n v="150"/>
    <s v=""/>
    <n v="-150"/>
    <x v="0"/>
    <s v="Sat"/>
    <s v="Unlimited"/>
  </r>
  <r>
    <x v="1"/>
    <d v="1899-12-30T16:40:00"/>
    <x v="3"/>
    <n v="8"/>
    <n v="12"/>
    <s v="Redbreast"/>
    <m/>
    <m/>
    <x v="1"/>
    <x v="0"/>
    <n v="100"/>
    <s v=""/>
    <n v="-100"/>
    <x v="3"/>
    <s v=""/>
    <n v="-150"/>
    <x v="0"/>
    <n v="150"/>
    <s v=""/>
    <n v="-150"/>
    <x v="0"/>
    <s v="Sat"/>
    <s v="Redbreast"/>
  </r>
  <r>
    <x v="1"/>
    <d v="1899-12-30T16:58:00"/>
    <x v="2"/>
    <n v="9"/>
    <n v="11"/>
    <s v="Elphinstone"/>
    <s v="1st"/>
    <n v="5"/>
    <x v="0"/>
    <x v="1"/>
    <n v="100"/>
    <n v="500"/>
    <n v="400"/>
    <x v="4"/>
    <n v="250"/>
    <n v="200"/>
    <x v="0"/>
    <n v="50"/>
    <n v="250"/>
    <n v="200"/>
    <x v="0"/>
    <s v="Sat"/>
    <s v="Elphinstone"/>
  </r>
  <r>
    <x v="1"/>
    <d v="1899-12-30T17:20:00"/>
    <x v="3"/>
    <n v="9"/>
    <n v="13"/>
    <s v="Sisterhood"/>
    <m/>
    <m/>
    <x v="0"/>
    <x v="0"/>
    <n v="100"/>
    <s v=""/>
    <n v="-100"/>
    <x v="0"/>
    <s v=""/>
    <n v="-100"/>
    <x v="0"/>
    <n v="100"/>
    <s v=""/>
    <n v="-100"/>
    <x v="0"/>
    <s v="Sat"/>
    <s v="Sisterhood"/>
  </r>
  <r>
    <x v="2"/>
    <d v="1899-12-30T12:15:00"/>
    <x v="2"/>
    <n v="1"/>
    <n v="3"/>
    <s v="Marble Arch"/>
    <s v="1st"/>
    <n v="2.8"/>
    <x v="1"/>
    <x v="1"/>
    <n v="100"/>
    <n v="280"/>
    <n v="180"/>
    <x v="1"/>
    <n v="560"/>
    <n v="360"/>
    <x v="0"/>
    <n v="200"/>
    <n v="560"/>
    <n v="360"/>
    <x v="0"/>
    <s v="Sat"/>
    <s v="Marble Arch"/>
  </r>
  <r>
    <x v="2"/>
    <d v="1899-12-30T12:15:00"/>
    <x v="2"/>
    <n v="1"/>
    <n v="1"/>
    <s v="Munhamek"/>
    <s v="Ntd"/>
    <m/>
    <x v="0"/>
    <x v="1"/>
    <n v="100"/>
    <s v=""/>
    <n v="-100"/>
    <x v="2"/>
    <s v=""/>
    <n v="-120"/>
    <x v="0"/>
    <n v="120"/>
    <s v=""/>
    <n v="-120"/>
    <x v="0"/>
    <s v="Sat"/>
    <s v="Munhamek"/>
  </r>
  <r>
    <x v="2"/>
    <d v="1899-12-30T13:20:00"/>
    <x v="2"/>
    <n v="3"/>
    <n v="1"/>
    <s v="Centennial Park"/>
    <m/>
    <m/>
    <x v="0"/>
    <x v="1"/>
    <n v="100"/>
    <s v=""/>
    <n v="-100"/>
    <x v="4"/>
    <s v=""/>
    <n v="-50"/>
    <x v="1"/>
    <n v="75"/>
    <s v=""/>
    <n v="-75"/>
    <x v="0"/>
    <s v="Sat"/>
    <s v="Centennial Park"/>
  </r>
  <r>
    <x v="2"/>
    <d v="1899-12-30T13:20:00"/>
    <x v="2"/>
    <n v="3"/>
    <n v="1"/>
    <s v="Centennial Park"/>
    <m/>
    <m/>
    <x v="1"/>
    <x v="1"/>
    <n v="100"/>
    <s v=""/>
    <n v="-100"/>
    <x v="0"/>
    <s v=""/>
    <n v="-100"/>
    <x v="0"/>
    <s v=""/>
    <s v=""/>
    <s v=""/>
    <x v="0"/>
    <s v="Sat"/>
    <s v="Centennial Park"/>
  </r>
  <r>
    <x v="2"/>
    <d v="1899-12-30T13:48:00"/>
    <x v="4"/>
    <n v="2"/>
    <n v="7"/>
    <s v="Aldeenaary"/>
    <s v="3rd"/>
    <m/>
    <x v="1"/>
    <x v="2"/>
    <n v="100"/>
    <s v=""/>
    <n v="-100"/>
    <x v="0"/>
    <s v=""/>
    <n v="-100"/>
    <x v="0"/>
    <n v="100"/>
    <s v=""/>
    <n v="-100"/>
    <x v="0"/>
    <s v="Sat"/>
    <s v="Aldeenaary"/>
  </r>
  <r>
    <x v="2"/>
    <d v="1899-12-30T13:55:00"/>
    <x v="2"/>
    <n v="4"/>
    <n v="5"/>
    <s v="Samangu"/>
    <s v="3rd"/>
    <m/>
    <x v="0"/>
    <x v="1"/>
    <n v="100"/>
    <s v=""/>
    <n v="-100"/>
    <x v="1"/>
    <s v=""/>
    <n v="-200"/>
    <x v="1"/>
    <n v="200"/>
    <s v=""/>
    <n v="-200"/>
    <x v="0"/>
    <s v="Sat"/>
    <s v="Samangu"/>
  </r>
  <r>
    <x v="2"/>
    <d v="1899-12-30T13:55:00"/>
    <x v="2"/>
    <n v="4"/>
    <n v="5"/>
    <s v="Samangu"/>
    <s v="3rd"/>
    <m/>
    <x v="1"/>
    <x v="1"/>
    <n v="100"/>
    <s v=""/>
    <n v="-100"/>
    <x v="1"/>
    <s v=""/>
    <n v="-200"/>
    <x v="0"/>
    <s v=""/>
    <s v=""/>
    <s v=""/>
    <x v="0"/>
    <s v="Sat"/>
    <s v="Samangu"/>
  </r>
  <r>
    <x v="2"/>
    <d v="1899-12-30T14:50:00"/>
    <x v="5"/>
    <n v="5"/>
    <n v="5"/>
    <s v="Tajanis"/>
    <s v="1st"/>
    <n v="5"/>
    <x v="0"/>
    <x v="0"/>
    <n v="100"/>
    <n v="500"/>
    <n v="400"/>
    <x v="0"/>
    <n v="500"/>
    <n v="400"/>
    <x v="0"/>
    <n v="100"/>
    <n v="500"/>
    <n v="400"/>
    <x v="0"/>
    <s v="Sat"/>
    <s v="Tajanis"/>
  </r>
  <r>
    <x v="2"/>
    <d v="1899-12-30T14:58:00"/>
    <x v="4"/>
    <n v="4"/>
    <n v="11"/>
    <s v="Koruto"/>
    <m/>
    <m/>
    <x v="1"/>
    <x v="2"/>
    <n v="100"/>
    <s v=""/>
    <n v="-100"/>
    <x v="0"/>
    <s v=""/>
    <n v="-100"/>
    <x v="0"/>
    <n v="100"/>
    <s v=""/>
    <n v="-100"/>
    <x v="0"/>
    <s v="Sat"/>
    <s v="Koruto"/>
  </r>
  <r>
    <x v="2"/>
    <d v="1899-12-30T15:05:00"/>
    <x v="2"/>
    <n v="6"/>
    <n v="4"/>
    <s v="Major Share"/>
    <s v="1st"/>
    <n v="3.3"/>
    <x v="1"/>
    <x v="1"/>
    <n v="100"/>
    <n v="330"/>
    <n v="230"/>
    <x v="1"/>
    <n v="660"/>
    <n v="460"/>
    <x v="0"/>
    <n v="200"/>
    <n v="660"/>
    <n v="460"/>
    <x v="0"/>
    <s v="Sat"/>
    <s v="Major Share"/>
  </r>
  <r>
    <x v="2"/>
    <d v="1899-12-30T15:40:00"/>
    <x v="2"/>
    <n v="7"/>
    <n v="4"/>
    <s v="Miss Cotoletta"/>
    <m/>
    <m/>
    <x v="1"/>
    <x v="1"/>
    <n v="100"/>
    <s v=""/>
    <n v="-100"/>
    <x v="0"/>
    <s v=""/>
    <n v="-100"/>
    <x v="0"/>
    <n v="100"/>
    <s v=""/>
    <n v="-100"/>
    <x v="0"/>
    <s v="Sat"/>
    <s v="Miss Cotoletta"/>
  </r>
  <r>
    <x v="2"/>
    <d v="1899-12-30T16:00:00"/>
    <x v="5"/>
    <n v="7"/>
    <n v="1"/>
    <s v="Osipenko"/>
    <s v="1st"/>
    <n v="3.1"/>
    <x v="0"/>
    <x v="0"/>
    <n v="100"/>
    <n v="310"/>
    <n v="210"/>
    <x v="1"/>
    <n v="620"/>
    <n v="420"/>
    <x v="0"/>
    <n v="200"/>
    <n v="620"/>
    <n v="420"/>
    <x v="0"/>
    <s v="Sat"/>
    <s v="Osipenko"/>
  </r>
  <r>
    <x v="2"/>
    <d v="1899-12-30T16:35:00"/>
    <x v="5"/>
    <n v="8"/>
    <n v="5"/>
    <s v="Cigar Flick"/>
    <s v="3rd"/>
    <m/>
    <x v="0"/>
    <x v="0"/>
    <n v="100"/>
    <s v=""/>
    <n v="-100"/>
    <x v="6"/>
    <s v=""/>
    <n v="-140"/>
    <x v="0"/>
    <n v="140"/>
    <s v=""/>
    <n v="-140"/>
    <x v="0"/>
    <s v="Sat"/>
    <s v="Cigar Flick"/>
  </r>
  <r>
    <x v="2"/>
    <d v="1899-12-30T16:55:00"/>
    <x v="2"/>
    <n v="9"/>
    <n v="7"/>
    <s v="Brazen Lady"/>
    <m/>
    <m/>
    <x v="0"/>
    <x v="1"/>
    <n v="100"/>
    <s v=""/>
    <n v="-100"/>
    <x v="4"/>
    <s v=""/>
    <n v="-50"/>
    <x v="0"/>
    <n v="50"/>
    <s v=""/>
    <n v="-50"/>
    <x v="0"/>
    <s v="Sat"/>
    <s v="Brazen Lady"/>
  </r>
  <r>
    <x v="2"/>
    <d v="1899-12-30T16:55:00"/>
    <x v="2"/>
    <n v="9"/>
    <n v="8"/>
    <s v="Is It Me"/>
    <s v="1st"/>
    <n v="9"/>
    <x v="1"/>
    <x v="1"/>
    <n v="100"/>
    <n v="900"/>
    <n v="800"/>
    <x v="0"/>
    <n v="900"/>
    <n v="800"/>
    <x v="0"/>
    <n v="100"/>
    <n v="900"/>
    <n v="800"/>
    <x v="0"/>
    <s v="Sat"/>
    <s v="Is It Me"/>
  </r>
  <r>
    <x v="2"/>
    <d v="1899-12-30T17:55:00"/>
    <x v="5"/>
    <n v="10"/>
    <n v="5"/>
    <s v="Spring Lee"/>
    <s v="Ntd"/>
    <m/>
    <x v="0"/>
    <x v="0"/>
    <n v="100"/>
    <s v=""/>
    <n v="-100"/>
    <x v="1"/>
    <s v=""/>
    <n v="-200"/>
    <x v="0"/>
    <n v="200"/>
    <s v=""/>
    <n v="-200"/>
    <x v="0"/>
    <s v="Sat"/>
    <s v="Spring Lee"/>
  </r>
  <r>
    <x v="2"/>
    <d v="1899-12-30T18:05:00"/>
    <x v="4"/>
    <n v="9"/>
    <n v="4"/>
    <s v="Battlefield"/>
    <m/>
    <m/>
    <x v="1"/>
    <x v="2"/>
    <n v="100"/>
    <s v=""/>
    <n v="-100"/>
    <x v="0"/>
    <s v=""/>
    <n v="-100"/>
    <x v="0"/>
    <n v="100"/>
    <s v=""/>
    <n v="-100"/>
    <x v="0"/>
    <s v="Sat"/>
    <s v="Battlefield"/>
  </r>
  <r>
    <x v="3"/>
    <d v="1899-12-30T14:30:00"/>
    <x v="6"/>
    <n v="5"/>
    <n v="6"/>
    <s v="Fickle"/>
    <m/>
    <m/>
    <x v="0"/>
    <x v="1"/>
    <n v="100"/>
    <s v=""/>
    <n v="-100"/>
    <x v="5"/>
    <s v=""/>
    <n v="-160"/>
    <x v="0"/>
    <n v="160"/>
    <s v=""/>
    <n v="-160"/>
    <x v="0"/>
    <s v="Sat"/>
    <s v="Fickle"/>
  </r>
  <r>
    <x v="3"/>
    <d v="1899-12-30T14:30:00"/>
    <x v="6"/>
    <n v="5"/>
    <n v="2"/>
    <s v="Mrs Chrissie"/>
    <m/>
    <m/>
    <x v="0"/>
    <x v="1"/>
    <n v="100"/>
    <s v=""/>
    <n v="-100"/>
    <x v="0"/>
    <s v=""/>
    <n v="-100"/>
    <x v="0"/>
    <n v="100"/>
    <s v=""/>
    <n v="-100"/>
    <x v="0"/>
    <s v="Sat"/>
    <s v="Mrs Chrissie"/>
  </r>
  <r>
    <x v="3"/>
    <d v="1899-12-30T15:05:00"/>
    <x v="6"/>
    <n v="6"/>
    <n v="8"/>
    <s v="Kings Valley"/>
    <s v="1st"/>
    <n v="4.5999999999999996"/>
    <x v="0"/>
    <x v="1"/>
    <n v="100"/>
    <n v="459.99999999999994"/>
    <n v="359.99999999999994"/>
    <x v="0"/>
    <n v="459.99999999999994"/>
    <n v="359.99999999999994"/>
    <x v="0"/>
    <n v="100"/>
    <n v="459.99999999999994"/>
    <n v="359.99999999999994"/>
    <x v="0"/>
    <s v="Sat"/>
    <s v="Kings Valley"/>
  </r>
  <r>
    <x v="3"/>
    <d v="1899-12-30T15:05:00"/>
    <x v="6"/>
    <n v="6"/>
    <n v="3"/>
    <s v="Miss Tarzy"/>
    <s v="3rd"/>
    <m/>
    <x v="0"/>
    <x v="1"/>
    <n v="100"/>
    <s v=""/>
    <n v="-100"/>
    <x v="3"/>
    <s v=""/>
    <n v="-150"/>
    <x v="0"/>
    <n v="150"/>
    <s v=""/>
    <n v="-150"/>
    <x v="0"/>
    <s v="Sat"/>
    <s v="Miss Tarzy"/>
  </r>
  <r>
    <x v="3"/>
    <d v="1899-12-30T15:40:00"/>
    <x v="6"/>
    <n v="7"/>
    <n v="5"/>
    <s v="Le Zebra"/>
    <s v="3rd"/>
    <m/>
    <x v="0"/>
    <x v="1"/>
    <n v="100"/>
    <s v=""/>
    <n v="-100"/>
    <x v="3"/>
    <s v=""/>
    <n v="-150"/>
    <x v="0"/>
    <n v="150"/>
    <s v=""/>
    <n v="-150"/>
    <x v="0"/>
    <s v="Sat"/>
    <s v="Le Zebra"/>
  </r>
  <r>
    <x v="3"/>
    <d v="1899-12-30T15:40:00"/>
    <x v="6"/>
    <n v="7"/>
    <n v="4"/>
    <s v="Smokin' Princess"/>
    <s v="1st"/>
    <n v="3.7"/>
    <x v="0"/>
    <x v="1"/>
    <n v="100"/>
    <n v="370"/>
    <n v="270"/>
    <x v="0"/>
    <n v="370"/>
    <n v="270"/>
    <x v="0"/>
    <n v="100"/>
    <n v="370"/>
    <n v="270"/>
    <x v="0"/>
    <s v="Sat"/>
    <s v="Smokin' Princess"/>
  </r>
  <r>
    <x v="3"/>
    <d v="1899-12-30T16:15:00"/>
    <x v="6"/>
    <n v="8"/>
    <n v="2"/>
    <s v="Aztec Ruler"/>
    <m/>
    <m/>
    <x v="0"/>
    <x v="1"/>
    <n v="100"/>
    <s v=""/>
    <n v="-100"/>
    <x v="0"/>
    <s v=""/>
    <n v="-100"/>
    <x v="0"/>
    <n v="100"/>
    <s v=""/>
    <n v="-100"/>
    <x v="0"/>
    <s v="Sat"/>
    <s v="Aztec Ruler"/>
  </r>
  <r>
    <x v="3"/>
    <d v="1899-12-30T16:15:00"/>
    <x v="6"/>
    <n v="8"/>
    <n v="4"/>
    <s v="Chorlton Lane"/>
    <s v="2nd"/>
    <m/>
    <x v="1"/>
    <x v="1"/>
    <n v="100"/>
    <s v=""/>
    <n v="-100"/>
    <x v="0"/>
    <s v=""/>
    <n v="-100"/>
    <x v="0"/>
    <n v="100"/>
    <s v=""/>
    <n v="-100"/>
    <x v="0"/>
    <s v="Sat"/>
    <s v="Chorlton Lane"/>
  </r>
  <r>
    <x v="3"/>
    <d v="1899-12-30T17:15:00"/>
    <x v="0"/>
    <n v="8"/>
    <n v="3"/>
    <s v="Headley Grange"/>
    <s v="1st"/>
    <n v="3"/>
    <x v="0"/>
    <x v="0"/>
    <n v="100"/>
    <n v="300"/>
    <n v="200"/>
    <x v="3"/>
    <n v="450"/>
    <n v="300"/>
    <x v="0"/>
    <n v="150"/>
    <n v="450"/>
    <n v="300"/>
    <x v="0"/>
    <s v="Sat"/>
    <s v="Headley Grange"/>
  </r>
  <r>
    <x v="3"/>
    <d v="1899-12-30T17:35:00"/>
    <x v="6"/>
    <n v="10"/>
    <n v="8"/>
    <s v="Sunshineinmypocket"/>
    <s v="1st"/>
    <n v="3.3"/>
    <x v="0"/>
    <x v="1"/>
    <n v="100"/>
    <n v="330"/>
    <n v="230"/>
    <x v="3"/>
    <n v="495"/>
    <n v="345"/>
    <x v="1"/>
    <n v="125"/>
    <n v="412.5"/>
    <n v="287.5"/>
    <x v="0"/>
    <s v="Sat"/>
    <s v="Sunshineinmypocket"/>
  </r>
  <r>
    <x v="3"/>
    <d v="1899-12-30T17:35:00"/>
    <x v="6"/>
    <n v="10"/>
    <n v="8"/>
    <s v="Sunshineinmypocket"/>
    <s v="1st"/>
    <n v="3.3"/>
    <x v="1"/>
    <x v="1"/>
    <n v="100"/>
    <n v="330"/>
    <n v="230"/>
    <x v="0"/>
    <n v="330"/>
    <n v="230"/>
    <x v="0"/>
    <s v=""/>
    <s v=""/>
    <s v=""/>
    <x v="0"/>
    <s v="Sat"/>
    <s v="Sunshineinmypocket"/>
  </r>
  <r>
    <x v="4"/>
    <d v="1899-12-30T12:15:00"/>
    <x v="6"/>
    <n v="1"/>
    <n v="5"/>
    <s v="Material Dreams"/>
    <m/>
    <m/>
    <x v="0"/>
    <x v="1"/>
    <n v="100"/>
    <s v=""/>
    <n v="-100"/>
    <x v="0"/>
    <s v=""/>
    <n v="-100"/>
    <x v="0"/>
    <n v="100"/>
    <s v=""/>
    <n v="-100"/>
    <x v="0"/>
    <s v="Sat"/>
    <s v="Material Dreams"/>
  </r>
  <r>
    <x v="4"/>
    <d v="1899-12-30T12:15:00"/>
    <x v="6"/>
    <n v="1"/>
    <n v="7"/>
    <s v="New York Lustre"/>
    <s v="1st"/>
    <n v="2.0499999999999998"/>
    <x v="0"/>
    <x v="1"/>
    <n v="100"/>
    <n v="204.99999999999997"/>
    <n v="104.99999999999997"/>
    <x v="5"/>
    <n v="328"/>
    <n v="168"/>
    <x v="1"/>
    <n v="180"/>
    <n v="368.99999999999994"/>
    <n v="188.99999999999994"/>
    <x v="0"/>
    <s v="Sat"/>
    <s v="New York Lustre"/>
  </r>
  <r>
    <x v="4"/>
    <d v="1899-12-30T12:15:00"/>
    <x v="6"/>
    <n v="1"/>
    <n v="7"/>
    <s v="New York Lustre"/>
    <s v="1st"/>
    <n v="2.0499999999999998"/>
    <x v="1"/>
    <x v="1"/>
    <n v="100"/>
    <n v="204.99999999999997"/>
    <n v="104.99999999999997"/>
    <x v="1"/>
    <n v="409.99999999999994"/>
    <n v="209.99999999999994"/>
    <x v="0"/>
    <s v=""/>
    <s v=""/>
    <s v=""/>
    <x v="0"/>
    <s v="Sat"/>
    <s v="New York Lustre"/>
  </r>
  <r>
    <x v="4"/>
    <d v="1899-12-30T12:45:00"/>
    <x v="6"/>
    <n v="2"/>
    <n v="2"/>
    <s v="First Immortal"/>
    <s v="1st"/>
    <n v="4.8"/>
    <x v="0"/>
    <x v="1"/>
    <n v="100"/>
    <n v="480"/>
    <n v="380"/>
    <x v="5"/>
    <n v="768"/>
    <n v="608"/>
    <x v="0"/>
    <n v="160"/>
    <n v="768"/>
    <n v="608"/>
    <x v="0"/>
    <s v="Sat"/>
    <s v="First Immortal"/>
  </r>
  <r>
    <x v="4"/>
    <d v="1899-12-30T12:45:00"/>
    <x v="6"/>
    <n v="2"/>
    <n v="5"/>
    <s v="Night Endeavor"/>
    <m/>
    <m/>
    <x v="0"/>
    <x v="1"/>
    <n v="100"/>
    <s v=""/>
    <n v="-100"/>
    <x v="0"/>
    <s v=""/>
    <n v="-100"/>
    <x v="0"/>
    <n v="100"/>
    <s v=""/>
    <n v="-100"/>
    <x v="0"/>
    <s v="Sat"/>
    <s v="Night Endeavor"/>
  </r>
  <r>
    <x v="4"/>
    <d v="1899-12-30T13:48:00"/>
    <x v="7"/>
    <n v="2"/>
    <n v="6"/>
    <s v="Aldeenaary"/>
    <m/>
    <m/>
    <x v="1"/>
    <x v="2"/>
    <n v="100"/>
    <s v=""/>
    <n v="-100"/>
    <x v="0"/>
    <s v=""/>
    <n v="-100"/>
    <x v="0"/>
    <n v="100"/>
    <s v=""/>
    <n v="-100"/>
    <x v="0"/>
    <s v="Sat"/>
    <s v="Aldeenaary"/>
  </r>
  <r>
    <x v="4"/>
    <d v="1899-12-30T14:23:00"/>
    <x v="7"/>
    <n v="3"/>
    <n v="11"/>
    <s v="Smart Action"/>
    <s v="1st"/>
    <n v="6"/>
    <x v="1"/>
    <x v="2"/>
    <n v="100"/>
    <n v="600"/>
    <n v="500"/>
    <x v="0"/>
    <n v="600"/>
    <n v="500"/>
    <x v="0"/>
    <n v="100"/>
    <n v="600"/>
    <n v="500"/>
    <x v="0"/>
    <s v="Sat"/>
    <s v="Smart Action"/>
  </r>
  <r>
    <x v="4"/>
    <d v="1899-12-30T14:58:00"/>
    <x v="7"/>
    <n v="4"/>
    <n v="2"/>
    <s v="Torabella"/>
    <s v="1st"/>
    <n v="1.7"/>
    <x v="1"/>
    <x v="2"/>
    <n v="100"/>
    <n v="170"/>
    <n v="70"/>
    <x v="0"/>
    <n v="170"/>
    <n v="70"/>
    <x v="0"/>
    <n v="100"/>
    <n v="170"/>
    <n v="70"/>
    <x v="0"/>
    <s v="Sat"/>
    <s v="Torabella"/>
  </r>
  <r>
    <x v="4"/>
    <d v="1899-12-30T16:00:00"/>
    <x v="5"/>
    <n v="7"/>
    <n v="11"/>
    <s v="Step Aside"/>
    <s v="3rd"/>
    <m/>
    <x v="0"/>
    <x v="0"/>
    <n v="100"/>
    <s v=""/>
    <n v="-100"/>
    <x v="3"/>
    <s v=""/>
    <n v="-150"/>
    <x v="0"/>
    <n v="150"/>
    <s v=""/>
    <n v="-150"/>
    <x v="0"/>
    <s v="Sat"/>
    <s v="Step Aside"/>
  </r>
  <r>
    <x v="4"/>
    <d v="1899-12-30T16:15:00"/>
    <x v="6"/>
    <n v="8"/>
    <n v="6"/>
    <s v="Revelare"/>
    <s v="1st"/>
    <n v="2.2999999999999998"/>
    <x v="0"/>
    <x v="1"/>
    <n v="100"/>
    <n v="229.99999999999997"/>
    <n v="129.99999999999997"/>
    <x v="3"/>
    <n v="345"/>
    <n v="195"/>
    <x v="1"/>
    <n v="125"/>
    <n v="287.5"/>
    <n v="162.5"/>
    <x v="0"/>
    <s v="Sat"/>
    <s v="Revelare"/>
  </r>
  <r>
    <x v="4"/>
    <d v="1899-12-30T16:15:00"/>
    <x v="8"/>
    <n v="8"/>
    <n v="6"/>
    <s v="Revelare"/>
    <s v="1st"/>
    <n v="2.2999999999999998"/>
    <x v="1"/>
    <x v="1"/>
    <n v="100"/>
    <n v="229.99999999999997"/>
    <n v="129.99999999999997"/>
    <x v="0"/>
    <n v="229.99999999999997"/>
    <n v="129.99999999999997"/>
    <x v="0"/>
    <s v=""/>
    <s v=""/>
    <s v=""/>
    <x v="0"/>
    <s v="Sat"/>
    <s v="Revelare"/>
  </r>
  <r>
    <x v="4"/>
    <d v="1899-12-30T16:55:00"/>
    <x v="6"/>
    <n v="9"/>
    <n v="9"/>
    <s v="Shes Bulletproof"/>
    <s v="1st"/>
    <n v="4.0999999999999996"/>
    <x v="1"/>
    <x v="1"/>
    <n v="100"/>
    <n v="409.99999999999994"/>
    <n v="309.99999999999994"/>
    <x v="1"/>
    <n v="819.99999999999989"/>
    <n v="619.99999999999989"/>
    <x v="0"/>
    <n v="200"/>
    <n v="819.99999999999989"/>
    <n v="619.99999999999989"/>
    <x v="0"/>
    <s v="Sat"/>
    <s v="Shes Bulletproof"/>
  </r>
  <r>
    <x v="4"/>
    <d v="1899-12-30T16:55:00"/>
    <x v="6"/>
    <n v="9"/>
    <n v="9"/>
    <s v="She'S Bulletproof"/>
    <s v="1st"/>
    <n v="4.0999999999999996"/>
    <x v="0"/>
    <x v="1"/>
    <n v="100"/>
    <n v="409.99999999999994"/>
    <n v="309.99999999999994"/>
    <x v="0"/>
    <n v="409.99999999999994"/>
    <n v="309.99999999999994"/>
    <x v="0"/>
    <n v="100"/>
    <n v="409.99999999999994"/>
    <n v="309.99999999999994"/>
    <x v="0"/>
    <s v="Sat"/>
    <s v="She'S Bulletproof"/>
  </r>
  <r>
    <x v="4"/>
    <d v="1899-12-30T17:15:00"/>
    <x v="5"/>
    <n v="9"/>
    <n v="6"/>
    <s v="Time To Boogie"/>
    <m/>
    <m/>
    <x v="0"/>
    <x v="0"/>
    <n v="100"/>
    <s v=""/>
    <n v="-100"/>
    <x v="0"/>
    <s v=""/>
    <n v="-100"/>
    <x v="0"/>
    <n v="100"/>
    <s v=""/>
    <n v="-100"/>
    <x v="0"/>
    <s v="Sat"/>
    <s v="Time To Boogie"/>
  </r>
  <r>
    <x v="4"/>
    <d v="1899-12-30T17:27:00"/>
    <x v="7"/>
    <n v="8"/>
    <n v="5"/>
    <s v="Slippin Jimmy"/>
    <m/>
    <m/>
    <x v="1"/>
    <x v="2"/>
    <n v="100"/>
    <s v=""/>
    <n v="-100"/>
    <x v="0"/>
    <s v=""/>
    <n v="-100"/>
    <x v="0"/>
    <n v="100"/>
    <s v=""/>
    <n v="-100"/>
    <x v="0"/>
    <s v="Sat"/>
    <s v="Slippin Jimmy"/>
  </r>
  <r>
    <x v="4"/>
    <d v="1899-12-30T17:35:00"/>
    <x v="6"/>
    <n v="10"/>
    <n v="10"/>
    <s v="Impending Link"/>
    <s v="2nd"/>
    <m/>
    <x v="0"/>
    <x v="1"/>
    <n v="100"/>
    <s v=""/>
    <n v="-100"/>
    <x v="4"/>
    <s v=""/>
    <n v="-50"/>
    <x v="0"/>
    <n v="50"/>
    <s v=""/>
    <n v="-50"/>
    <x v="0"/>
    <s v="Sat"/>
    <s v="Impending Link"/>
  </r>
  <r>
    <x v="4"/>
    <d v="1899-12-30T17:35:00"/>
    <x v="6"/>
    <n v="10"/>
    <n v="11"/>
    <s v="Name Dropper"/>
    <s v="1st"/>
    <n v="3.8"/>
    <x v="0"/>
    <x v="1"/>
    <n v="100"/>
    <n v="380"/>
    <n v="280"/>
    <x v="5"/>
    <n v="608"/>
    <n v="448"/>
    <x v="0"/>
    <n v="160"/>
    <n v="608"/>
    <n v="448"/>
    <x v="0"/>
    <s v="Sat"/>
    <s v="Name Dropper"/>
  </r>
  <r>
    <x v="4"/>
    <d v="1899-12-30T17:55:00"/>
    <x v="5"/>
    <n v="10"/>
    <n v="8"/>
    <s v="Yorkshire"/>
    <s v="1st"/>
    <n v="1.6"/>
    <x v="1"/>
    <x v="0"/>
    <n v="100"/>
    <n v="160"/>
    <n v="60"/>
    <x v="3"/>
    <n v="240"/>
    <n v="90"/>
    <x v="0"/>
    <n v="150"/>
    <n v="240"/>
    <n v="90"/>
    <x v="0"/>
    <s v="Sat"/>
    <s v="Yorkshire"/>
  </r>
  <r>
    <x v="4"/>
    <d v="1899-12-30T18:10:00"/>
    <x v="7"/>
    <n v="9"/>
    <n v="10"/>
    <s v="Russian Alliance"/>
    <m/>
    <m/>
    <x v="1"/>
    <x v="2"/>
    <n v="100"/>
    <s v=""/>
    <n v="-100"/>
    <x v="0"/>
    <s v=""/>
    <n v="-100"/>
    <x v="0"/>
    <n v="100"/>
    <s v=""/>
    <n v="-100"/>
    <x v="0"/>
    <s v="Sat"/>
    <s v="Russian Alliance"/>
  </r>
  <r>
    <x v="5"/>
    <d v="1899-12-30T13:20:00"/>
    <x v="9"/>
    <n v="3"/>
    <n v="8"/>
    <s v="Shaiyhar"/>
    <s v="3rd"/>
    <m/>
    <x v="0"/>
    <x v="1"/>
    <n v="100"/>
    <s v=""/>
    <n v="-100"/>
    <x v="1"/>
    <s v=""/>
    <n v="-200"/>
    <x v="0"/>
    <n v="200"/>
    <s v=""/>
    <n v="-200"/>
    <x v="0"/>
    <s v="Sat"/>
    <s v="Shaiyhar"/>
  </r>
  <r>
    <x v="5"/>
    <d v="1899-12-30T13:48:00"/>
    <x v="7"/>
    <n v="2"/>
    <n v="3"/>
    <s v="Just Flying"/>
    <s v="1st"/>
    <n v="5"/>
    <x v="1"/>
    <x v="2"/>
    <n v="100"/>
    <n v="500"/>
    <n v="400"/>
    <x v="0"/>
    <n v="500"/>
    <n v="400"/>
    <x v="0"/>
    <n v="100"/>
    <n v="500"/>
    <n v="400"/>
    <x v="0"/>
    <s v="Sat"/>
    <s v="Just Flying"/>
  </r>
  <r>
    <x v="5"/>
    <d v="1899-12-30T14:23:00"/>
    <x v="7"/>
    <n v="3"/>
    <n v="9"/>
    <s v="Kairos Louie"/>
    <m/>
    <m/>
    <x v="1"/>
    <x v="2"/>
    <n v="100"/>
    <s v=""/>
    <n v="-100"/>
    <x v="0"/>
    <s v=""/>
    <n v="-100"/>
    <x v="0"/>
    <n v="100"/>
    <s v=""/>
    <n v="-100"/>
    <x v="0"/>
    <s v="Sat"/>
    <s v="Kairos Louie"/>
  </r>
  <r>
    <x v="5"/>
    <d v="1899-12-30T15:05:00"/>
    <x v="9"/>
    <n v="6"/>
    <n v="2"/>
    <s v="Maharba"/>
    <m/>
    <m/>
    <x v="0"/>
    <x v="1"/>
    <n v="100"/>
    <s v=""/>
    <n v="-100"/>
    <x v="0"/>
    <s v=""/>
    <n v="-100"/>
    <x v="0"/>
    <n v="100"/>
    <s v=""/>
    <n v="-100"/>
    <x v="0"/>
    <s v="Sat"/>
    <s v="Maharba"/>
  </r>
  <r>
    <x v="5"/>
    <d v="1899-12-30T15:05:00"/>
    <x v="9"/>
    <n v="6"/>
    <n v="4"/>
    <s v="Rey Magnerio"/>
    <s v="1st"/>
    <n v="4.5999999999999996"/>
    <x v="0"/>
    <x v="1"/>
    <n v="100"/>
    <n v="459.99999999999994"/>
    <n v="359.99999999999994"/>
    <x v="5"/>
    <n v="736"/>
    <n v="576"/>
    <x v="0"/>
    <n v="160"/>
    <n v="736"/>
    <n v="576"/>
    <x v="0"/>
    <s v="Sat"/>
    <s v="Rey Magnerio"/>
  </r>
  <r>
    <x v="5"/>
    <d v="1899-12-30T15:25:00"/>
    <x v="0"/>
    <n v="6"/>
    <n v="7"/>
    <s v="The Black Cloud"/>
    <s v="2nd"/>
    <m/>
    <x v="0"/>
    <x v="0"/>
    <n v="100"/>
    <s v=""/>
    <n v="-100"/>
    <x v="3"/>
    <s v=""/>
    <n v="-150"/>
    <x v="0"/>
    <n v="150"/>
    <s v=""/>
    <n v="-150"/>
    <x v="0"/>
    <s v="Sat"/>
    <s v="The Black Cloud"/>
  </r>
  <r>
    <x v="5"/>
    <d v="1899-12-30T15:40:00"/>
    <x v="9"/>
    <n v="7"/>
    <n v="2"/>
    <s v="Angel Capital"/>
    <s v="1st"/>
    <n v="3"/>
    <x v="0"/>
    <x v="1"/>
    <n v="100"/>
    <n v="300"/>
    <n v="200"/>
    <x v="2"/>
    <n v="360"/>
    <n v="240"/>
    <x v="1"/>
    <n v="110"/>
    <n v="330"/>
    <n v="220"/>
    <x v="0"/>
    <s v="Sat"/>
    <s v="Angel Capital"/>
  </r>
  <r>
    <x v="5"/>
    <d v="1899-12-30T15:40:00"/>
    <x v="9"/>
    <n v="7"/>
    <n v="2"/>
    <s v="Angel Capital"/>
    <s v="1st"/>
    <n v="3"/>
    <x v="1"/>
    <x v="1"/>
    <n v="100"/>
    <n v="300"/>
    <n v="200"/>
    <x v="0"/>
    <n v="300"/>
    <n v="200"/>
    <x v="0"/>
    <s v=""/>
    <s v=""/>
    <s v=""/>
    <x v="0"/>
    <s v="Sat"/>
    <s v="Angel Capital"/>
  </r>
  <r>
    <x v="5"/>
    <d v="1899-12-30T16:15:00"/>
    <x v="9"/>
    <n v="8"/>
    <n v="4"/>
    <s v="Chorlton Lane"/>
    <s v="3rd"/>
    <m/>
    <x v="1"/>
    <x v="1"/>
    <n v="100"/>
    <s v=""/>
    <n v="-100"/>
    <x v="0"/>
    <s v=""/>
    <n v="-100"/>
    <x v="0"/>
    <n v="100"/>
    <s v=""/>
    <n v="-100"/>
    <x v="0"/>
    <s v="Sat"/>
    <s v="Chorlton Lane"/>
  </r>
  <r>
    <x v="5"/>
    <d v="1899-12-30T16:15:00"/>
    <x v="9"/>
    <n v="8"/>
    <n v="11"/>
    <s v="Marble Arch"/>
    <s v="2nd"/>
    <m/>
    <x v="0"/>
    <x v="1"/>
    <n v="100"/>
    <s v=""/>
    <n v="-100"/>
    <x v="1"/>
    <s v=""/>
    <n v="-200"/>
    <x v="0"/>
    <n v="200"/>
    <s v=""/>
    <n v="-200"/>
    <x v="0"/>
    <s v="Sat"/>
    <s v="Marble Arch"/>
  </r>
  <r>
    <x v="5"/>
    <d v="1899-12-30T16:35:00"/>
    <x v="0"/>
    <n v="8"/>
    <n v="2"/>
    <s v="Gatsbys"/>
    <s v="3rd"/>
    <m/>
    <x v="1"/>
    <x v="0"/>
    <n v="100"/>
    <s v=""/>
    <n v="-100"/>
    <x v="3"/>
    <s v=""/>
    <n v="-150"/>
    <x v="0"/>
    <n v="150"/>
    <s v=""/>
    <n v="-150"/>
    <x v="0"/>
    <s v="Sat"/>
    <s v="Gatsbys"/>
  </r>
  <r>
    <x v="5"/>
    <d v="1899-12-30T16:47:00"/>
    <x v="7"/>
    <n v="7"/>
    <n v="6"/>
    <s v="Caprice Des Dieux"/>
    <m/>
    <m/>
    <x v="1"/>
    <x v="2"/>
    <n v="100"/>
    <s v=""/>
    <n v="-100"/>
    <x v="0"/>
    <s v=""/>
    <n v="-100"/>
    <x v="0"/>
    <n v="100"/>
    <s v=""/>
    <n v="-100"/>
    <x v="0"/>
    <s v="Sat"/>
    <s v="Caprice Des Dieux"/>
  </r>
  <r>
    <x v="5"/>
    <d v="1899-12-30T16:55:00"/>
    <x v="9"/>
    <n v="9"/>
    <n v="5"/>
    <s v="Another Wil"/>
    <s v="1st"/>
    <n v="3.3"/>
    <x v="0"/>
    <x v="1"/>
    <n v="100"/>
    <n v="330"/>
    <n v="230"/>
    <x v="0"/>
    <n v="330"/>
    <n v="230"/>
    <x v="0"/>
    <n v="100"/>
    <n v="330"/>
    <n v="230"/>
    <x v="0"/>
    <s v="Sat"/>
    <s v="Another Wil"/>
  </r>
  <r>
    <x v="5"/>
    <d v="1899-12-30T16:55:00"/>
    <x v="9"/>
    <n v="9"/>
    <n v="1"/>
    <s v="Mr Brightside"/>
    <s v="2nd"/>
    <m/>
    <x v="0"/>
    <x v="1"/>
    <n v="100"/>
    <s v=""/>
    <n v="-100"/>
    <x v="7"/>
    <s v=""/>
    <n v="-130"/>
    <x v="1"/>
    <n v="165"/>
    <s v=""/>
    <n v="-165"/>
    <x v="0"/>
    <s v="Sat"/>
    <s v="Mr Brightside"/>
  </r>
  <r>
    <x v="5"/>
    <d v="1899-12-30T16:55:00"/>
    <x v="9"/>
    <n v="9"/>
    <n v="1"/>
    <s v="Mr Brightside"/>
    <s v="2nd"/>
    <m/>
    <x v="1"/>
    <x v="1"/>
    <n v="100"/>
    <s v=""/>
    <n v="-100"/>
    <x v="1"/>
    <s v=""/>
    <n v="-200"/>
    <x v="0"/>
    <s v=""/>
    <s v=""/>
    <s v=""/>
    <x v="0"/>
    <s v="Sat"/>
    <s v="Mr Brightside"/>
  </r>
  <r>
    <x v="5"/>
    <d v="1899-12-30T17:35:00"/>
    <x v="9"/>
    <n v="10"/>
    <n v="4"/>
    <s v="Arabian Summer"/>
    <s v="1st"/>
    <n v="2.7"/>
    <x v="1"/>
    <x v="1"/>
    <n v="100"/>
    <n v="270"/>
    <n v="170"/>
    <x v="0"/>
    <n v="270"/>
    <n v="170"/>
    <x v="0"/>
    <n v="100"/>
    <n v="270"/>
    <n v="170"/>
    <x v="0"/>
    <s v="Sat"/>
    <s v="Arabian Summer"/>
  </r>
  <r>
    <x v="5"/>
    <d v="1899-12-30T18:10:00"/>
    <x v="7"/>
    <n v="9"/>
    <n v="13"/>
    <s v="Whisky Dream"/>
    <m/>
    <m/>
    <x v="1"/>
    <x v="2"/>
    <n v="100"/>
    <s v=""/>
    <n v="-100"/>
    <x v="0"/>
    <s v=""/>
    <n v="-100"/>
    <x v="0"/>
    <n v="100"/>
    <s v=""/>
    <n v="-100"/>
    <x v="0"/>
    <s v="Sat"/>
    <s v="Whisky Dream"/>
  </r>
  <r>
    <x v="5"/>
    <d v="1899-12-30T18:50:00"/>
    <x v="7"/>
    <n v="10"/>
    <n v="3"/>
    <s v="Lost In Transit"/>
    <s v="3rd"/>
    <m/>
    <x v="1"/>
    <x v="2"/>
    <n v="100"/>
    <s v=""/>
    <n v="-100"/>
    <x v="0"/>
    <s v=""/>
    <n v="-100"/>
    <x v="0"/>
    <n v="100"/>
    <s v=""/>
    <n v="-100"/>
    <x v="0"/>
    <s v="Sat"/>
    <s v="Lost In Transit"/>
  </r>
  <r>
    <x v="6"/>
    <d v="1899-12-30T13:20:00"/>
    <x v="2"/>
    <n v="3"/>
    <n v="3"/>
    <s v="Fancify"/>
    <m/>
    <m/>
    <x v="0"/>
    <x v="1"/>
    <n v="100"/>
    <s v=""/>
    <n v="-100"/>
    <x v="3"/>
    <s v=""/>
    <n v="-150"/>
    <x v="0"/>
    <n v="150"/>
    <s v=""/>
    <n v="-150"/>
    <x v="0"/>
    <s v="Sat"/>
    <s v="Fancify"/>
  </r>
  <r>
    <x v="6"/>
    <d v="1899-12-30T13:55:00"/>
    <x v="2"/>
    <n v="4"/>
    <n v="2"/>
    <s v="Smokin Princess"/>
    <s v="1st"/>
    <n v="6"/>
    <x v="1"/>
    <x v="1"/>
    <n v="100"/>
    <n v="600"/>
    <n v="500"/>
    <x v="0"/>
    <n v="600"/>
    <n v="500"/>
    <x v="0"/>
    <n v="100"/>
    <n v="600"/>
    <n v="500"/>
    <x v="0"/>
    <s v="Sat"/>
    <s v="Smokin Princess"/>
  </r>
  <r>
    <x v="6"/>
    <d v="1899-12-30T13:55:00"/>
    <x v="2"/>
    <n v="4"/>
    <n v="5"/>
    <s v="Umgawa"/>
    <m/>
    <m/>
    <x v="0"/>
    <x v="1"/>
    <n v="100"/>
    <s v=""/>
    <n v="-100"/>
    <x v="4"/>
    <s v=""/>
    <n v="-50"/>
    <x v="0"/>
    <n v="50"/>
    <s v=""/>
    <n v="-50"/>
    <x v="0"/>
    <s v="Sat"/>
    <s v="Umgawa"/>
  </r>
  <r>
    <x v="6"/>
    <d v="1899-12-30T14:30:00"/>
    <x v="2"/>
    <n v="5"/>
    <n v="7"/>
    <s v="Material Dreams"/>
    <s v="3rd"/>
    <m/>
    <x v="1"/>
    <x v="1"/>
    <n v="100"/>
    <s v=""/>
    <n v="-100"/>
    <x v="0"/>
    <s v=""/>
    <n v="-100"/>
    <x v="0"/>
    <n v="100"/>
    <s v=""/>
    <n v="-100"/>
    <x v="0"/>
    <s v="Sat"/>
    <s v="Material Dreams"/>
  </r>
  <r>
    <x v="6"/>
    <d v="1899-12-30T14:50:00"/>
    <x v="0"/>
    <n v="5"/>
    <n v="5"/>
    <s v="Joliestar"/>
    <s v="Ntd"/>
    <m/>
    <x v="0"/>
    <x v="0"/>
    <n v="100"/>
    <s v=""/>
    <n v="-100"/>
    <x v="3"/>
    <s v=""/>
    <n v="-150"/>
    <x v="0"/>
    <n v="150"/>
    <s v=""/>
    <n v="-150"/>
    <x v="0"/>
    <s v="Sat"/>
    <s v="Joliestar"/>
  </r>
  <r>
    <x v="6"/>
    <d v="1899-12-30T15:05:00"/>
    <x v="2"/>
    <n v="6"/>
    <n v="4"/>
    <s v="Chorlton Lane"/>
    <m/>
    <m/>
    <x v="0"/>
    <x v="1"/>
    <n v="100"/>
    <s v=""/>
    <n v="-100"/>
    <x v="2"/>
    <s v=""/>
    <n v="-120"/>
    <x v="0"/>
    <n v="120"/>
    <s v=""/>
    <n v="-120"/>
    <x v="0"/>
    <s v="Sat"/>
    <s v="Chorlton Lane"/>
  </r>
  <r>
    <x v="6"/>
    <d v="1899-12-30T15:05:00"/>
    <x v="2"/>
    <n v="6"/>
    <n v="9"/>
    <s v="Poison Chalice"/>
    <m/>
    <m/>
    <x v="1"/>
    <x v="1"/>
    <n v="100"/>
    <s v=""/>
    <n v="-100"/>
    <x v="0"/>
    <s v=""/>
    <n v="-100"/>
    <x v="0"/>
    <n v="100"/>
    <s v=""/>
    <n v="-100"/>
    <x v="0"/>
    <s v="Sat"/>
    <s v="Poison Chalice"/>
  </r>
  <r>
    <x v="6"/>
    <d v="1899-12-30T15:05:00"/>
    <x v="2"/>
    <n v="6"/>
    <n v="6"/>
    <s v="Rise At Dawn"/>
    <s v="1st"/>
    <n v="4.7"/>
    <x v="0"/>
    <x v="1"/>
    <n v="100"/>
    <n v="470"/>
    <n v="370"/>
    <x v="3"/>
    <n v="705"/>
    <n v="555"/>
    <x v="0"/>
    <n v="150"/>
    <n v="705"/>
    <n v="555"/>
    <x v="0"/>
    <s v="Sat"/>
    <s v="Rise At Dawn"/>
  </r>
  <r>
    <x v="6"/>
    <d v="1899-12-30T15:25:00"/>
    <x v="0"/>
    <n v="6"/>
    <n v="10"/>
    <s v="Clear Thinking"/>
    <s v="2nd"/>
    <m/>
    <x v="0"/>
    <x v="0"/>
    <n v="100"/>
    <s v=""/>
    <n v="-100"/>
    <x v="3"/>
    <s v=""/>
    <n v="-150"/>
    <x v="0"/>
    <n v="150"/>
    <s v=""/>
    <n v="-150"/>
    <x v="0"/>
    <s v="Sat"/>
    <s v="Clear Thinking"/>
  </r>
  <r>
    <x v="6"/>
    <d v="1899-12-30T16:15:00"/>
    <x v="2"/>
    <n v="8"/>
    <n v="10"/>
    <s v="Growing Empire"/>
    <m/>
    <m/>
    <x v="0"/>
    <x v="1"/>
    <n v="100"/>
    <s v=""/>
    <n v="-100"/>
    <x v="3"/>
    <s v=""/>
    <n v="-150"/>
    <x v="0"/>
    <n v="150"/>
    <s v=""/>
    <n v="-150"/>
    <x v="0"/>
    <s v="Sat"/>
    <s v="Growing Empire"/>
  </r>
  <r>
    <x v="6"/>
    <d v="1899-12-30T17:15:00"/>
    <x v="0"/>
    <n v="9"/>
    <n v="9"/>
    <s v="Eye Of The Fire"/>
    <s v="3rd"/>
    <m/>
    <x v="0"/>
    <x v="0"/>
    <n v="100"/>
    <s v=""/>
    <n v="-100"/>
    <x v="0"/>
    <s v=""/>
    <n v="-100"/>
    <x v="0"/>
    <n v="100"/>
    <s v=""/>
    <n v="-100"/>
    <x v="0"/>
    <s v="Sat"/>
    <s v="Eye Of The Fire"/>
  </r>
  <r>
    <x v="6"/>
    <d v="1899-12-30T17:35:00"/>
    <x v="2"/>
    <n v="10"/>
    <n v="3"/>
    <s v="Is It Me"/>
    <s v="1st"/>
    <n v="3.8"/>
    <x v="0"/>
    <x v="1"/>
    <n v="100"/>
    <n v="380"/>
    <n v="280"/>
    <x v="3"/>
    <n v="570"/>
    <n v="420"/>
    <x v="0"/>
    <n v="150"/>
    <n v="570"/>
    <n v="420"/>
    <x v="0"/>
    <s v="Sat"/>
    <s v="Is It Me"/>
  </r>
  <r>
    <x v="6"/>
    <d v="1899-12-30T17:35:00"/>
    <x v="2"/>
    <n v="10"/>
    <n v="2"/>
    <s v="Le Ferrari"/>
    <m/>
    <m/>
    <x v="0"/>
    <x v="1"/>
    <n v="100"/>
    <s v=""/>
    <n v="-100"/>
    <x v="4"/>
    <s v=""/>
    <n v="-50"/>
    <x v="0"/>
    <n v="50"/>
    <s v=""/>
    <n v="-50"/>
    <x v="0"/>
    <s v="Sat"/>
    <s v="Le Ferrari"/>
  </r>
  <r>
    <x v="7"/>
    <d v="1899-12-30T12:15:00"/>
    <x v="9"/>
    <n v="1"/>
    <n v="5"/>
    <s v="Samangu"/>
    <s v="1st"/>
    <n v="3.4"/>
    <x v="0"/>
    <x v="1"/>
    <n v="100"/>
    <n v="340"/>
    <n v="240"/>
    <x v="3"/>
    <n v="510"/>
    <n v="360"/>
    <x v="0"/>
    <n v="150"/>
    <n v="510"/>
    <n v="360"/>
    <x v="0"/>
    <s v="Sat"/>
    <s v="Samangu"/>
  </r>
  <r>
    <x v="7"/>
    <d v="1899-12-30T12:30:00"/>
    <x v="5"/>
    <n v="1"/>
    <n v="10"/>
    <s v="Rush Attack"/>
    <s v="1st"/>
    <n v="6.9"/>
    <x v="0"/>
    <x v="0"/>
    <n v="100"/>
    <n v="690"/>
    <n v="590"/>
    <x v="0"/>
    <n v="690"/>
    <n v="590"/>
    <x v="0"/>
    <n v="100"/>
    <n v="690"/>
    <n v="590"/>
    <x v="0"/>
    <s v="Sat"/>
    <s v="Rush Attack"/>
  </r>
  <r>
    <x v="7"/>
    <d v="1899-12-30T13:47:00"/>
    <x v="7"/>
    <n v="2"/>
    <n v="6"/>
    <s v="Diablo Bolt"/>
    <s v="1st"/>
    <n v="1.85"/>
    <x v="1"/>
    <x v="2"/>
    <n v="100"/>
    <n v="185"/>
    <n v="85"/>
    <x v="0"/>
    <n v="185"/>
    <n v="85"/>
    <x v="0"/>
    <n v="100"/>
    <n v="185"/>
    <n v="85"/>
    <x v="0"/>
    <s v="Sat"/>
    <s v="Diablo Bolt"/>
  </r>
  <r>
    <x v="7"/>
    <d v="1899-12-30T15:05:00"/>
    <x v="9"/>
    <n v="6"/>
    <n v="6"/>
    <s v="Coeur Volante"/>
    <s v="1st"/>
    <n v="6.1"/>
    <x v="1"/>
    <x v="1"/>
    <n v="100"/>
    <n v="610"/>
    <n v="510"/>
    <x v="1"/>
    <n v="1220"/>
    <n v="1020"/>
    <x v="0"/>
    <n v="200"/>
    <n v="1220"/>
    <n v="1020"/>
    <x v="0"/>
    <s v="Sat"/>
    <s v="Coeur Volante"/>
  </r>
  <r>
    <x v="7"/>
    <d v="1899-12-30T15:40:00"/>
    <x v="9"/>
    <n v="7"/>
    <n v="1"/>
    <s v="Mr Brightside"/>
    <s v="1st"/>
    <n v="1.8"/>
    <x v="0"/>
    <x v="1"/>
    <n v="100"/>
    <n v="180"/>
    <n v="80"/>
    <x v="1"/>
    <n v="360"/>
    <n v="160"/>
    <x v="1"/>
    <n v="200"/>
    <n v="360"/>
    <n v="160"/>
    <x v="0"/>
    <s v="Sat"/>
    <s v="Mr Brightside"/>
  </r>
  <r>
    <x v="7"/>
    <d v="1899-12-30T15:40:00"/>
    <x v="9"/>
    <n v="7"/>
    <n v="1"/>
    <s v="Mr Brightside"/>
    <s v="1st"/>
    <n v="1.8"/>
    <x v="1"/>
    <x v="1"/>
    <n v="100"/>
    <n v="180"/>
    <n v="80"/>
    <x v="1"/>
    <n v="360"/>
    <n v="160"/>
    <x v="0"/>
    <s v=""/>
    <s v=""/>
    <s v=""/>
    <x v="0"/>
    <s v="Sat"/>
    <s v="Mr Brightside"/>
  </r>
  <r>
    <x v="7"/>
    <d v="1899-12-30T17:23:00"/>
    <x v="7"/>
    <n v="8"/>
    <n v="3"/>
    <s v="King Kapa"/>
    <s v="1st"/>
    <n v="3.4"/>
    <x v="1"/>
    <x v="2"/>
    <n v="100"/>
    <n v="340"/>
    <n v="240"/>
    <x v="0"/>
    <n v="340"/>
    <n v="240"/>
    <x v="0"/>
    <n v="100"/>
    <n v="340"/>
    <n v="240"/>
    <x v="0"/>
    <s v="Sat"/>
    <s v="King Kapa"/>
  </r>
  <r>
    <x v="7"/>
    <d v="1899-12-30T17:35:00"/>
    <x v="9"/>
    <n v="10"/>
    <n v="7"/>
    <s v="Positivity"/>
    <m/>
    <m/>
    <x v="0"/>
    <x v="1"/>
    <n v="100"/>
    <s v=""/>
    <n v="-100"/>
    <x v="4"/>
    <s v=""/>
    <n v="-50"/>
    <x v="0"/>
    <n v="50"/>
    <s v=""/>
    <n v="-50"/>
    <x v="0"/>
    <s v="Sat"/>
    <s v="Positivity"/>
  </r>
  <r>
    <x v="7"/>
    <d v="1899-12-30T17:35:00"/>
    <x v="9"/>
    <n v="10"/>
    <n v="10"/>
    <s v="Shaiyhar"/>
    <s v="3rd"/>
    <m/>
    <x v="0"/>
    <x v="1"/>
    <n v="100"/>
    <s v=""/>
    <n v="-100"/>
    <x v="0"/>
    <s v=""/>
    <n v="-100"/>
    <x v="0"/>
    <n v="100"/>
    <s v=""/>
    <n v="-100"/>
    <x v="0"/>
    <s v="Sat"/>
    <s v="Shaiyhar"/>
  </r>
  <r>
    <x v="8"/>
    <d v="1899-12-30T12:45:00"/>
    <x v="2"/>
    <n v="2"/>
    <n v="2"/>
    <s v="Revelare"/>
    <s v="1st"/>
    <n v="1.9"/>
    <x v="0"/>
    <x v="1"/>
    <n v="100"/>
    <n v="190"/>
    <n v="90"/>
    <x v="1"/>
    <n v="380"/>
    <n v="180"/>
    <x v="0"/>
    <n v="200"/>
    <n v="380"/>
    <n v="180"/>
    <x v="0"/>
    <s v="Sat"/>
    <s v="Revelare"/>
  </r>
  <r>
    <x v="8"/>
    <d v="1899-12-30T13:20:00"/>
    <x v="2"/>
    <n v="3"/>
    <n v="4"/>
    <s v="Band Of Brothers"/>
    <m/>
    <m/>
    <x v="0"/>
    <x v="1"/>
    <n v="100"/>
    <s v=""/>
    <n v="-100"/>
    <x v="3"/>
    <s v=""/>
    <n v="-150"/>
    <x v="0"/>
    <n v="150"/>
    <s v=""/>
    <n v="-150"/>
    <x v="0"/>
    <s v="Sat"/>
    <s v="Band Of Brothers"/>
  </r>
  <r>
    <x v="8"/>
    <d v="1899-12-30T13:20:00"/>
    <x v="2"/>
    <n v="3"/>
    <n v="3"/>
    <s v="Bossy Nic"/>
    <s v="2nd"/>
    <m/>
    <x v="0"/>
    <x v="1"/>
    <n v="100"/>
    <s v=""/>
    <n v="-100"/>
    <x v="3"/>
    <s v=""/>
    <n v="-150"/>
    <x v="0"/>
    <n v="150"/>
    <s v=""/>
    <n v="-150"/>
    <x v="0"/>
    <s v="Sat"/>
    <s v="Bossy Nic"/>
  </r>
  <r>
    <x v="8"/>
    <d v="1899-12-30T13:20:00"/>
    <x v="2"/>
    <n v="3"/>
    <n v="2"/>
    <s v="Midwest"/>
    <s v="1st"/>
    <n v="4.7"/>
    <x v="1"/>
    <x v="1"/>
    <n v="100"/>
    <n v="470"/>
    <n v="370"/>
    <x v="1"/>
    <n v="940"/>
    <n v="740"/>
    <x v="0"/>
    <n v="200"/>
    <n v="940"/>
    <n v="740"/>
    <x v="0"/>
    <s v="Sat"/>
    <s v="Midwest"/>
  </r>
  <r>
    <x v="8"/>
    <d v="1899-12-30T13:40:00"/>
    <x v="0"/>
    <n v="3"/>
    <n v="6"/>
    <s v="Spring Lee"/>
    <s v="1st"/>
    <n v="2.6"/>
    <x v="0"/>
    <x v="0"/>
    <n v="100"/>
    <n v="260"/>
    <n v="160"/>
    <x v="3"/>
    <n v="390"/>
    <n v="240"/>
    <x v="1"/>
    <n v="150"/>
    <n v="390"/>
    <n v="240"/>
    <x v="0"/>
    <s v="Sat"/>
    <s v="Spring Lee"/>
  </r>
  <r>
    <x v="8"/>
    <d v="1899-12-30T13:40:00"/>
    <x v="0"/>
    <n v="3"/>
    <n v="6"/>
    <s v="Spring Lee"/>
    <s v="1st"/>
    <n v="2.6"/>
    <x v="1"/>
    <x v="0"/>
    <n v="100"/>
    <n v="260"/>
    <n v="160"/>
    <x v="3"/>
    <n v="390"/>
    <n v="240"/>
    <x v="0"/>
    <s v=""/>
    <s v=""/>
    <s v=""/>
    <x v="0"/>
    <s v="Sat"/>
    <s v="Spring Lee"/>
  </r>
  <r>
    <x v="8"/>
    <d v="1899-12-30T14:30:00"/>
    <x v="2"/>
    <n v="5"/>
    <n v="7"/>
    <s v="Scillato"/>
    <s v="1st"/>
    <n v="3.6"/>
    <x v="0"/>
    <x v="1"/>
    <n v="100"/>
    <n v="360"/>
    <n v="260"/>
    <x v="4"/>
    <n v="180"/>
    <n v="130"/>
    <x v="1"/>
    <n v="75"/>
    <n v="270"/>
    <n v="195"/>
    <x v="0"/>
    <s v="Sat"/>
    <s v="Scillato"/>
  </r>
  <r>
    <x v="8"/>
    <d v="1899-12-30T14:30:00"/>
    <x v="2"/>
    <n v="5"/>
    <n v="7"/>
    <s v="Scillato"/>
    <s v="1st"/>
    <n v="3.6"/>
    <x v="1"/>
    <x v="1"/>
    <n v="100"/>
    <n v="360"/>
    <n v="260"/>
    <x v="0"/>
    <n v="360"/>
    <n v="260"/>
    <x v="0"/>
    <s v=""/>
    <s v=""/>
    <s v=""/>
    <x v="0"/>
    <s v="Sat"/>
    <s v="Scillato"/>
  </r>
  <r>
    <x v="8"/>
    <d v="1899-12-30T15:05:00"/>
    <x v="2"/>
    <n v="6"/>
    <n v="5"/>
    <s v="Name Dropper"/>
    <m/>
    <m/>
    <x v="0"/>
    <x v="1"/>
    <n v="100"/>
    <s v=""/>
    <n v="-100"/>
    <x v="0"/>
    <s v=""/>
    <n v="-100"/>
    <x v="0"/>
    <n v="100"/>
    <s v=""/>
    <n v="-100"/>
    <x v="0"/>
    <s v="Sat"/>
    <s v="Name Dropper"/>
  </r>
  <r>
    <x v="8"/>
    <d v="1899-12-30T15:25:00"/>
    <x v="0"/>
    <n v="6"/>
    <n v="1"/>
    <s v="Amelias Jewel"/>
    <s v="1st"/>
    <n v="2.0499999999999998"/>
    <x v="1"/>
    <x v="0"/>
    <n v="100"/>
    <n v="204.99999999999997"/>
    <n v="104.99999999999997"/>
    <x v="3"/>
    <n v="307.5"/>
    <n v="157.5"/>
    <x v="0"/>
    <n v="150"/>
    <n v="307.5"/>
    <n v="157.5"/>
    <x v="0"/>
    <s v="Sat"/>
    <s v="Amelias Jewel"/>
  </r>
  <r>
    <x v="8"/>
    <d v="1899-12-30T15:32:00"/>
    <x v="4"/>
    <n v="5"/>
    <n v="2"/>
    <s v="El Jasor"/>
    <s v="2nd"/>
    <m/>
    <x v="1"/>
    <x v="2"/>
    <n v="100"/>
    <s v=""/>
    <n v="-100"/>
    <x v="0"/>
    <s v=""/>
    <n v="-100"/>
    <x v="0"/>
    <n v="100"/>
    <s v=""/>
    <n v="-100"/>
    <x v="0"/>
    <s v="Sat"/>
    <s v="El Jasor"/>
  </r>
  <r>
    <x v="8"/>
    <d v="1899-12-30T15:40:00"/>
    <x v="2"/>
    <n v="7"/>
    <n v="10"/>
    <s v="Place Du Carrousel"/>
    <m/>
    <m/>
    <x v="0"/>
    <x v="1"/>
    <n v="100"/>
    <s v=""/>
    <n v="-100"/>
    <x v="5"/>
    <s v=""/>
    <n v="-160"/>
    <x v="0"/>
    <n v="160"/>
    <s v=""/>
    <n v="-160"/>
    <x v="0"/>
    <s v="Sat"/>
    <s v="Place Du Carrousel"/>
  </r>
  <r>
    <x v="8"/>
    <d v="1899-12-30T15:40:00"/>
    <x v="2"/>
    <n v="7"/>
    <n v="7"/>
    <s v="Steparty"/>
    <m/>
    <m/>
    <x v="0"/>
    <x v="1"/>
    <n v="100"/>
    <s v=""/>
    <n v="-100"/>
    <x v="0"/>
    <s v=""/>
    <n v="-100"/>
    <x v="0"/>
    <n v="100"/>
    <s v=""/>
    <n v="-100"/>
    <x v="0"/>
    <s v="Sat"/>
    <s v="Steparty"/>
  </r>
  <r>
    <x v="8"/>
    <d v="1899-12-30T16:00:00"/>
    <x v="0"/>
    <n v="7"/>
    <n v="1"/>
    <s v="Lady Shenandoah"/>
    <s v="1st"/>
    <n v="1.35"/>
    <x v="1"/>
    <x v="0"/>
    <n v="100"/>
    <n v="135"/>
    <n v="35"/>
    <x v="3"/>
    <n v="202.5"/>
    <n v="52.5"/>
    <x v="0"/>
    <n v="150"/>
    <n v="202.5"/>
    <n v="52.5"/>
    <x v="0"/>
    <s v="Sat"/>
    <s v="Lady Shenandoah"/>
  </r>
  <r>
    <x v="8"/>
    <d v="1899-12-30T16:07:00"/>
    <x v="4"/>
    <n v="6"/>
    <n v="6"/>
    <s v="Set To Shine"/>
    <s v="1st"/>
    <n v="3.1"/>
    <x v="1"/>
    <x v="2"/>
    <n v="100"/>
    <n v="310"/>
    <n v="210"/>
    <x v="0"/>
    <n v="310"/>
    <n v="210"/>
    <x v="0"/>
    <n v="100"/>
    <n v="310"/>
    <n v="210"/>
    <x v="0"/>
    <s v="Sat"/>
    <s v="Set To Shine"/>
  </r>
  <r>
    <x v="8"/>
    <d v="1899-12-30T16:15:00"/>
    <x v="2"/>
    <n v="8"/>
    <n v="12"/>
    <s v="Sepals"/>
    <m/>
    <m/>
    <x v="1"/>
    <x v="1"/>
    <n v="100"/>
    <s v=""/>
    <n v="-100"/>
    <x v="0"/>
    <s v=""/>
    <n v="-100"/>
    <x v="0"/>
    <n v="100"/>
    <s v=""/>
    <n v="-100"/>
    <x v="0"/>
    <s v="Sat"/>
    <s v="Sepals"/>
  </r>
  <r>
    <x v="8"/>
    <d v="1899-12-30T16:43:00"/>
    <x v="4"/>
    <n v="7"/>
    <n v="2"/>
    <s v="No Name Frank"/>
    <s v="3rd"/>
    <m/>
    <x v="1"/>
    <x v="2"/>
    <n v="100"/>
    <s v=""/>
    <n v="-100"/>
    <x v="0"/>
    <s v=""/>
    <n v="-100"/>
    <x v="0"/>
    <n v="100"/>
    <s v=""/>
    <n v="-100"/>
    <x v="0"/>
    <s v="Sat"/>
    <s v="No Name Frank"/>
  </r>
  <r>
    <x v="8"/>
    <d v="1899-12-30T17:15:00"/>
    <x v="0"/>
    <n v="9"/>
    <n v="3"/>
    <s v="Iowna Merc"/>
    <s v="1st"/>
    <n v="4.2"/>
    <x v="0"/>
    <x v="0"/>
    <n v="100"/>
    <n v="420"/>
    <n v="320"/>
    <x v="3"/>
    <n v="630"/>
    <n v="480"/>
    <x v="0"/>
    <n v="150"/>
    <n v="630"/>
    <n v="480"/>
    <x v="0"/>
    <s v="Sat"/>
    <s v="Iowna Merc"/>
  </r>
  <r>
    <x v="8"/>
    <d v="1899-12-30T17:23:00"/>
    <x v="4"/>
    <n v="8"/>
    <n v="3"/>
    <s v="Wanda Rox"/>
    <s v="1st"/>
    <n v="4.4000000000000004"/>
    <x v="1"/>
    <x v="2"/>
    <n v="100"/>
    <n v="440.00000000000006"/>
    <n v="340.00000000000006"/>
    <x v="0"/>
    <n v="440.00000000000006"/>
    <n v="340.00000000000006"/>
    <x v="0"/>
    <n v="100"/>
    <n v="440.00000000000006"/>
    <n v="340.00000000000006"/>
    <x v="0"/>
    <s v="Sat"/>
    <s v="Wanda Rox"/>
  </r>
  <r>
    <x v="8"/>
    <d v="1899-12-30T17:35:00"/>
    <x v="2"/>
    <n v="10"/>
    <n v="15"/>
    <s v="Arqana"/>
    <m/>
    <m/>
    <x v="1"/>
    <x v="1"/>
    <n v="100"/>
    <s v=""/>
    <n v="-100"/>
    <x v="0"/>
    <s v=""/>
    <n v="-100"/>
    <x v="0"/>
    <n v="100"/>
    <s v=""/>
    <n v="-100"/>
    <x v="0"/>
    <s v="Sat"/>
    <s v="Arqana"/>
  </r>
  <r>
    <x v="8"/>
    <d v="1899-12-30T17:35:00"/>
    <x v="2"/>
    <n v="10"/>
    <n v="8"/>
    <s v="Verdad"/>
    <s v="1st"/>
    <n v="5.5"/>
    <x v="0"/>
    <x v="1"/>
    <n v="100"/>
    <n v="550"/>
    <n v="450"/>
    <x v="3"/>
    <n v="825"/>
    <n v="675"/>
    <x v="0"/>
    <n v="150"/>
    <n v="825"/>
    <n v="675"/>
    <x v="0"/>
    <s v="Sat"/>
    <s v="Verdad"/>
  </r>
  <r>
    <x v="8"/>
    <d v="1899-12-30T17:55:00"/>
    <x v="0"/>
    <n v="10"/>
    <n v="14"/>
    <s v="Kings Valley"/>
    <s v="1st"/>
    <n v="3.4"/>
    <x v="0"/>
    <x v="0"/>
    <n v="100"/>
    <n v="340"/>
    <n v="240"/>
    <x v="1"/>
    <n v="680"/>
    <n v="480"/>
    <x v="0"/>
    <n v="200"/>
    <n v="680"/>
    <n v="480"/>
    <x v="0"/>
    <s v="Sat"/>
    <s v="Kings Valley"/>
  </r>
  <r>
    <x v="8"/>
    <d v="1899-12-30T18:05:00"/>
    <x v="4"/>
    <n v="9"/>
    <n v="11"/>
    <s v="Termagant"/>
    <s v="1st"/>
    <n v="2.6"/>
    <x v="1"/>
    <x v="2"/>
    <n v="100"/>
    <n v="260"/>
    <n v="160"/>
    <x v="0"/>
    <n v="260"/>
    <n v="160"/>
    <x v="0"/>
    <n v="100"/>
    <n v="260"/>
    <n v="160"/>
    <x v="0"/>
    <s v="Sat"/>
    <s v="Termagant"/>
  </r>
  <r>
    <x v="8"/>
    <d v="1899-12-30T18:40:00"/>
    <x v="4"/>
    <n v="10"/>
    <n v="4"/>
    <s v="Cunnamulla Fella"/>
    <m/>
    <m/>
    <x v="1"/>
    <x v="2"/>
    <n v="100"/>
    <s v=""/>
    <n v="-100"/>
    <x v="0"/>
    <s v=""/>
    <n v="-100"/>
    <x v="0"/>
    <n v="100"/>
    <s v=""/>
    <n v="-100"/>
    <x v="0"/>
    <s v="Sat"/>
    <s v="Cunnamulla Fella"/>
  </r>
  <r>
    <x v="9"/>
    <d v="1899-12-30T12:05:00"/>
    <x v="2"/>
    <n v="1"/>
    <n v="3"/>
    <s v="Interest Point"/>
    <m/>
    <m/>
    <x v="1"/>
    <x v="1"/>
    <n v="100"/>
    <s v=""/>
    <n v="-100"/>
    <x v="3"/>
    <s v=""/>
    <n v="-150"/>
    <x v="0"/>
    <n v="150"/>
    <s v=""/>
    <n v="-150"/>
    <x v="0"/>
    <s v="Sat"/>
    <s v="Interest Point"/>
  </r>
  <r>
    <x v="9"/>
    <d v="1899-12-30T12:20:00"/>
    <x v="0"/>
    <n v="1"/>
    <n v="4"/>
    <s v="Rush Attack"/>
    <s v="2nd"/>
    <m/>
    <x v="0"/>
    <x v="0"/>
    <n v="100"/>
    <s v=""/>
    <n v="-100"/>
    <x v="0"/>
    <s v=""/>
    <n v="-100"/>
    <x v="0"/>
    <n v="100"/>
    <s v=""/>
    <n v="-100"/>
    <x v="0"/>
    <s v="Sat"/>
    <s v="Rush Attack"/>
  </r>
  <r>
    <x v="9"/>
    <d v="1899-12-30T13:10:00"/>
    <x v="2"/>
    <n v="3"/>
    <n v="13"/>
    <s v="Mytemptation"/>
    <s v="1st"/>
    <n v="4"/>
    <x v="1"/>
    <x v="1"/>
    <n v="100"/>
    <n v="400"/>
    <n v="300"/>
    <x v="0"/>
    <n v="400"/>
    <n v="300"/>
    <x v="0"/>
    <n v="100"/>
    <n v="400"/>
    <n v="300"/>
    <x v="0"/>
    <s v="Sat"/>
    <s v="Mytemptation"/>
  </r>
  <r>
    <x v="9"/>
    <d v="1899-12-30T13:45:00"/>
    <x v="2"/>
    <n v="4"/>
    <n v="4"/>
    <s v="Aztec Ruler"/>
    <m/>
    <m/>
    <x v="0"/>
    <x v="1"/>
    <n v="100"/>
    <s v=""/>
    <n v="-100"/>
    <x v="4"/>
    <s v=""/>
    <n v="-50"/>
    <x v="0"/>
    <n v="50"/>
    <s v=""/>
    <n v="-50"/>
    <x v="0"/>
    <s v="Sat"/>
    <s v="Aztec Ruler"/>
  </r>
  <r>
    <x v="9"/>
    <d v="1899-12-30T13:45:00"/>
    <x v="2"/>
    <n v="4"/>
    <n v="6"/>
    <s v="Fancify"/>
    <m/>
    <m/>
    <x v="0"/>
    <x v="1"/>
    <n v="100"/>
    <s v=""/>
    <n v="-100"/>
    <x v="3"/>
    <s v=""/>
    <n v="-150"/>
    <x v="0"/>
    <n v="150"/>
    <s v=""/>
    <n v="-150"/>
    <x v="0"/>
    <s v="Sat"/>
    <s v="Fancify"/>
  </r>
  <r>
    <x v="9"/>
    <d v="1899-12-30T14:55:00"/>
    <x v="2"/>
    <n v="6"/>
    <n v="10"/>
    <s v="Aramco"/>
    <m/>
    <m/>
    <x v="0"/>
    <x v="1"/>
    <n v="100"/>
    <s v=""/>
    <n v="-100"/>
    <x v="4"/>
    <s v=""/>
    <n v="-50"/>
    <x v="0"/>
    <n v="50"/>
    <s v=""/>
    <n v="-50"/>
    <x v="0"/>
    <s v="Sat"/>
    <s v="Aramco"/>
  </r>
  <r>
    <x v="9"/>
    <d v="1899-12-30T14:55:00"/>
    <x v="2"/>
    <n v="6"/>
    <n v="6"/>
    <s v="Young Werther"/>
    <m/>
    <m/>
    <x v="0"/>
    <x v="1"/>
    <n v="100"/>
    <s v=""/>
    <n v="-100"/>
    <x v="4"/>
    <s v=""/>
    <n v="-50"/>
    <x v="0"/>
    <n v="50"/>
    <s v=""/>
    <n v="-50"/>
    <x v="0"/>
    <s v="Sat"/>
    <s v="Young Werther"/>
  </r>
  <r>
    <x v="9"/>
    <d v="1899-12-30T15:30:00"/>
    <x v="2"/>
    <n v="7"/>
    <n v="1"/>
    <s v="Mr Brightside"/>
    <s v="2nd"/>
    <m/>
    <x v="0"/>
    <x v="1"/>
    <n v="100"/>
    <s v=""/>
    <n v="-100"/>
    <x v="3"/>
    <s v=""/>
    <n v="-150"/>
    <x v="0"/>
    <n v="150"/>
    <s v=""/>
    <n v="-150"/>
    <x v="0"/>
    <s v="Sat"/>
    <s v="Mr Brightside"/>
  </r>
  <r>
    <x v="9"/>
    <d v="1899-12-30T15:30:00"/>
    <x v="2"/>
    <n v="7"/>
    <n v="2"/>
    <s v="Tom Kitten"/>
    <s v="1st"/>
    <n v="5.5"/>
    <x v="0"/>
    <x v="1"/>
    <n v="100"/>
    <n v="550"/>
    <n v="450"/>
    <x v="0"/>
    <n v="550"/>
    <n v="450"/>
    <x v="0"/>
    <n v="100"/>
    <n v="550"/>
    <n v="450"/>
    <x v="0"/>
    <s v="Sat"/>
    <s v="Tom Kitten"/>
  </r>
  <r>
    <x v="9"/>
    <d v="1899-12-30T16:10:00"/>
    <x v="2"/>
    <n v="8"/>
    <n v="1"/>
    <s v="Treasurethe Moment"/>
    <s v="1st"/>
    <n v="1.6"/>
    <x v="0"/>
    <x v="1"/>
    <n v="100"/>
    <n v="160"/>
    <n v="60"/>
    <x v="4"/>
    <n v="80"/>
    <n v="30"/>
    <x v="0"/>
    <n v="50"/>
    <n v="80"/>
    <n v="30"/>
    <x v="0"/>
    <s v="Sat"/>
    <s v="Treasurethe Moment"/>
  </r>
  <r>
    <x v="9"/>
    <d v="1899-12-30T16:50:00"/>
    <x v="2"/>
    <n v="9"/>
    <n v="12"/>
    <s v="Headwall"/>
    <s v="2nd"/>
    <m/>
    <x v="1"/>
    <x v="1"/>
    <n v="100"/>
    <s v=""/>
    <n v="-100"/>
    <x v="0"/>
    <s v=""/>
    <n v="-100"/>
    <x v="0"/>
    <n v="100"/>
    <s v=""/>
    <n v="-100"/>
    <x v="0"/>
    <s v="Sat"/>
    <s v="Headwall"/>
  </r>
  <r>
    <x v="9"/>
    <d v="1899-12-30T17:10:00"/>
    <x v="0"/>
    <n v="9"/>
    <n v="9"/>
    <s v="Our Anchorage"/>
    <m/>
    <m/>
    <x v="0"/>
    <x v="0"/>
    <n v="100"/>
    <s v=""/>
    <n v="-100"/>
    <x v="1"/>
    <s v=""/>
    <n v="-200"/>
    <x v="0"/>
    <n v="200"/>
    <s v=""/>
    <n v="-200"/>
    <x v="0"/>
    <s v="Sat"/>
    <s v="Our Anchorage"/>
  </r>
  <r>
    <x v="9"/>
    <d v="1899-12-30T17:30:00"/>
    <x v="2"/>
    <n v="10"/>
    <n v="7"/>
    <s v="Smokin Princess"/>
    <m/>
    <m/>
    <x v="1"/>
    <x v="1"/>
    <n v="100"/>
    <s v=""/>
    <n v="-100"/>
    <x v="0"/>
    <s v=""/>
    <n v="-100"/>
    <x v="0"/>
    <n v="100"/>
    <s v=""/>
    <n v="-100"/>
    <x v="0"/>
    <s v="Sat"/>
    <s v="Smokin Princess"/>
  </r>
  <r>
    <x v="10"/>
    <d v="1899-12-30T12:15:00"/>
    <x v="9"/>
    <n v="1"/>
    <n v="1"/>
    <s v="Bankers Choice"/>
    <s v="1st"/>
    <n v="4.4000000000000004"/>
    <x v="0"/>
    <x v="1"/>
    <n v="100"/>
    <n v="440.00000000000006"/>
    <n v="340.00000000000006"/>
    <x v="3"/>
    <n v="660"/>
    <n v="510"/>
    <x v="0"/>
    <n v="150"/>
    <n v="660"/>
    <n v="510"/>
    <x v="0"/>
    <s v="Sat"/>
    <s v="Bankers Choice"/>
  </r>
  <r>
    <x v="10"/>
    <d v="1899-12-30T12:38:00"/>
    <x v="4"/>
    <n v="3"/>
    <n v="10"/>
    <s v="Anemacore"/>
    <m/>
    <m/>
    <x v="1"/>
    <x v="2"/>
    <n v="100"/>
    <s v=""/>
    <n v="-100"/>
    <x v="0"/>
    <s v=""/>
    <n v="-100"/>
    <x v="0"/>
    <n v="100"/>
    <s v=""/>
    <n v="-100"/>
    <x v="0"/>
    <s v="Sat"/>
    <s v="Anemacore"/>
  </r>
  <r>
    <x v="10"/>
    <d v="1899-12-30T12:45:00"/>
    <x v="9"/>
    <n v="2"/>
    <n v="2"/>
    <s v="Brazen Lady"/>
    <m/>
    <m/>
    <x v="0"/>
    <x v="1"/>
    <n v="100"/>
    <s v=""/>
    <n v="-100"/>
    <x v="0"/>
    <s v=""/>
    <n v="-100"/>
    <x v="0"/>
    <n v="100"/>
    <s v=""/>
    <n v="-100"/>
    <x v="0"/>
    <s v="Sat"/>
    <s v="Brazen Lady"/>
  </r>
  <r>
    <x v="10"/>
    <d v="1899-12-30T12:45:00"/>
    <x v="9"/>
    <n v="2"/>
    <n v="5"/>
    <s v="Merrigold"/>
    <s v="1st"/>
    <n v="6.5"/>
    <x v="1"/>
    <x v="1"/>
    <n v="100"/>
    <n v="650"/>
    <n v="550"/>
    <x v="1"/>
    <n v="1300"/>
    <n v="1100"/>
    <x v="0"/>
    <n v="200"/>
    <n v="1300"/>
    <n v="1100"/>
    <x v="0"/>
    <s v="Sat"/>
    <s v="Merrigold"/>
  </r>
  <r>
    <x v="10"/>
    <d v="1899-12-30T12:45:00"/>
    <x v="9"/>
    <n v="2"/>
    <n v="1"/>
    <s v="Regal Vow"/>
    <s v="3rd"/>
    <m/>
    <x v="0"/>
    <x v="1"/>
    <n v="100"/>
    <s v=""/>
    <n v="-100"/>
    <x v="0"/>
    <s v=""/>
    <n v="-100"/>
    <x v="0"/>
    <n v="100"/>
    <s v=""/>
    <n v="-100"/>
    <x v="0"/>
    <s v="Sat"/>
    <s v="Regal Vow"/>
  </r>
  <r>
    <x v="10"/>
    <d v="1899-12-30T13:13:00"/>
    <x v="4"/>
    <n v="4"/>
    <n v="1"/>
    <s v="Space Tracker"/>
    <s v="1st"/>
    <n v="5"/>
    <x v="1"/>
    <x v="2"/>
    <n v="100"/>
    <n v="500"/>
    <n v="400"/>
    <x v="0"/>
    <n v="500"/>
    <n v="400"/>
    <x v="0"/>
    <n v="100"/>
    <n v="500"/>
    <n v="400"/>
    <x v="0"/>
    <s v="Sat"/>
    <s v="Space Tracker"/>
  </r>
  <r>
    <x v="10"/>
    <d v="1899-12-30T13:20:00"/>
    <x v="9"/>
    <n v="3"/>
    <n v="2"/>
    <s v="Miss Aria"/>
    <m/>
    <m/>
    <x v="0"/>
    <x v="1"/>
    <n v="100"/>
    <s v=""/>
    <n v="-100"/>
    <x v="5"/>
    <s v=""/>
    <n v="-160"/>
    <x v="0"/>
    <n v="160"/>
    <s v=""/>
    <n v="-160"/>
    <x v="0"/>
    <s v="Sat"/>
    <s v="Miss Aria"/>
  </r>
  <r>
    <x v="10"/>
    <d v="1899-12-30T13:20:00"/>
    <x v="9"/>
    <n v="3"/>
    <n v="5"/>
    <s v="Samangu"/>
    <s v="1st"/>
    <n v="3"/>
    <x v="0"/>
    <x v="1"/>
    <n v="100"/>
    <n v="300"/>
    <n v="200"/>
    <x v="3"/>
    <n v="450"/>
    <n v="300"/>
    <x v="1"/>
    <n v="175"/>
    <n v="525"/>
    <n v="350"/>
    <x v="0"/>
    <s v="Sat"/>
    <s v="Samangu"/>
  </r>
  <r>
    <x v="10"/>
    <d v="1899-12-30T13:20:00"/>
    <x v="9"/>
    <n v="3"/>
    <n v="5"/>
    <s v="Samangu"/>
    <s v="1st"/>
    <n v="3.3"/>
    <x v="1"/>
    <x v="1"/>
    <n v="100"/>
    <n v="330"/>
    <n v="230"/>
    <x v="1"/>
    <n v="660"/>
    <n v="460"/>
    <x v="0"/>
    <s v=""/>
    <s v=""/>
    <s v=""/>
    <x v="0"/>
    <s v="Sat"/>
    <s v="Samangu"/>
  </r>
  <r>
    <x v="10"/>
    <d v="1899-12-30T13:48:00"/>
    <x v="4"/>
    <n v="5"/>
    <n v="13"/>
    <s v="Mintaka Lad"/>
    <m/>
    <m/>
    <x v="1"/>
    <x v="2"/>
    <n v="100"/>
    <s v=""/>
    <n v="-100"/>
    <x v="0"/>
    <s v=""/>
    <n v="-100"/>
    <x v="0"/>
    <n v="100"/>
    <s v=""/>
    <n v="-100"/>
    <x v="0"/>
    <s v="Sat"/>
    <s v="Mintaka Lad"/>
  </r>
  <r>
    <x v="10"/>
    <d v="1899-12-30T14:23:00"/>
    <x v="4"/>
    <n v="6"/>
    <n v="5"/>
    <s v="Wanda Rox"/>
    <s v="2nd"/>
    <m/>
    <x v="1"/>
    <x v="2"/>
    <n v="100"/>
    <s v=""/>
    <n v="-100"/>
    <x v="0"/>
    <s v=""/>
    <n v="-100"/>
    <x v="0"/>
    <n v="100"/>
    <s v=""/>
    <n v="-100"/>
    <x v="0"/>
    <s v="Sat"/>
    <s v="Wanda Rox"/>
  </r>
  <r>
    <x v="10"/>
    <d v="1899-12-30T14:30:00"/>
    <x v="9"/>
    <n v="5"/>
    <n v="8"/>
    <s v="Benagil"/>
    <s v="1st"/>
    <n v="6.5"/>
    <x v="1"/>
    <x v="1"/>
    <n v="100"/>
    <n v="650"/>
    <n v="550"/>
    <x v="0"/>
    <n v="650"/>
    <n v="550"/>
    <x v="0"/>
    <n v="100"/>
    <n v="650"/>
    <n v="550"/>
    <x v="0"/>
    <s v="Sat"/>
    <s v="Benagil"/>
  </r>
  <r>
    <x v="10"/>
    <d v="1899-12-30T14:50:00"/>
    <x v="5"/>
    <n v="5"/>
    <n v="2"/>
    <s v="Arapaho"/>
    <s v="2nd"/>
    <m/>
    <x v="0"/>
    <x v="0"/>
    <n v="100"/>
    <s v=""/>
    <n v="-100"/>
    <x v="3"/>
    <s v=""/>
    <n v="-150"/>
    <x v="0"/>
    <n v="150"/>
    <s v=""/>
    <n v="-150"/>
    <x v="0"/>
    <s v="Sat"/>
    <s v="Arapaho"/>
  </r>
  <r>
    <x v="10"/>
    <d v="1899-12-30T15:05:00"/>
    <x v="9"/>
    <n v="6"/>
    <n v="4"/>
    <s v="Plenty Of Ammo"/>
    <m/>
    <m/>
    <x v="1"/>
    <x v="1"/>
    <n v="100"/>
    <s v=""/>
    <n v="-100"/>
    <x v="1"/>
    <s v=""/>
    <n v="-200"/>
    <x v="0"/>
    <n v="200"/>
    <s v=""/>
    <n v="-200"/>
    <x v="0"/>
    <s v="Sat"/>
    <s v="Plenty Of Ammo"/>
  </r>
  <r>
    <x v="10"/>
    <d v="1899-12-30T15:05:00"/>
    <x v="9"/>
    <n v="6"/>
    <n v="5"/>
    <s v="Pride Of Jenni"/>
    <s v="1st"/>
    <n v="3.9"/>
    <x v="0"/>
    <x v="1"/>
    <n v="100"/>
    <n v="390"/>
    <n v="290"/>
    <x v="3"/>
    <n v="585"/>
    <n v="435"/>
    <x v="0"/>
    <n v="150"/>
    <n v="585"/>
    <n v="435"/>
    <x v="0"/>
    <s v="Sat"/>
    <s v="Pride Of Jenni"/>
  </r>
  <r>
    <x v="10"/>
    <d v="1899-12-30T15:40:00"/>
    <x v="9"/>
    <n v="7"/>
    <n v="4"/>
    <s v="Winnasedge"/>
    <s v="1st"/>
    <n v="4.2"/>
    <x v="1"/>
    <x v="1"/>
    <n v="100"/>
    <n v="420"/>
    <n v="320"/>
    <x v="0"/>
    <n v="420"/>
    <n v="320"/>
    <x v="0"/>
    <n v="100"/>
    <n v="420"/>
    <n v="320"/>
    <x v="0"/>
    <s v="Sat"/>
    <s v="Winnasedge"/>
  </r>
  <r>
    <x v="10"/>
    <d v="1899-12-30T16:55:00"/>
    <x v="9"/>
    <n v="9"/>
    <n v="4"/>
    <s v="Regal Zeus"/>
    <s v="1st"/>
    <n v="3.5"/>
    <x v="1"/>
    <x v="1"/>
    <n v="100"/>
    <n v="350"/>
    <n v="250"/>
    <x v="1"/>
    <n v="700"/>
    <n v="500"/>
    <x v="0"/>
    <n v="200"/>
    <n v="700"/>
    <n v="500"/>
    <x v="0"/>
    <s v="Sat"/>
    <s v="Regal Zeus"/>
  </r>
  <r>
    <x v="10"/>
    <d v="1899-12-30T17:15:00"/>
    <x v="5"/>
    <n v="9"/>
    <n v="11"/>
    <s v="Ducasse"/>
    <m/>
    <m/>
    <x v="1"/>
    <x v="0"/>
    <n v="100"/>
    <s v=""/>
    <n v="-100"/>
    <x v="3"/>
    <s v=""/>
    <n v="-150"/>
    <x v="0"/>
    <n v="150"/>
    <s v=""/>
    <n v="-150"/>
    <x v="0"/>
    <s v="Sat"/>
    <s v="Ducasse"/>
  </r>
  <r>
    <x v="10"/>
    <d v="1899-12-30T17:15:00"/>
    <x v="5"/>
    <n v="9"/>
    <n v="9"/>
    <s v="Willaidow"/>
    <s v="2nd"/>
    <m/>
    <x v="0"/>
    <x v="0"/>
    <n v="100"/>
    <s v=""/>
    <n v="-100"/>
    <x v="0"/>
    <s v=""/>
    <n v="-100"/>
    <x v="0"/>
    <n v="100"/>
    <s v=""/>
    <n v="-100"/>
    <x v="0"/>
    <s v="Sat"/>
    <s v="Willaidow"/>
  </r>
  <r>
    <x v="10"/>
    <d v="1899-12-30T17:27:00"/>
    <x v="4"/>
    <n v="11"/>
    <n v="13"/>
    <s v="Heyoka"/>
    <s v="1st"/>
    <n v="2.9"/>
    <x v="1"/>
    <x v="2"/>
    <n v="100"/>
    <n v="290"/>
    <n v="190"/>
    <x v="0"/>
    <n v="290"/>
    <n v="190"/>
    <x v="0"/>
    <n v="100"/>
    <n v="290"/>
    <n v="190"/>
    <x v="0"/>
    <s v="Sat"/>
    <s v="Heyoka"/>
  </r>
  <r>
    <x v="10"/>
    <d v="1899-12-30T17:55:00"/>
    <x v="5"/>
    <n v="10"/>
    <n v="10"/>
    <s v="Watch My Girl"/>
    <m/>
    <m/>
    <x v="0"/>
    <x v="0"/>
    <n v="100"/>
    <s v=""/>
    <n v="-100"/>
    <x v="0"/>
    <s v=""/>
    <n v="-100"/>
    <x v="0"/>
    <n v="100"/>
    <s v=""/>
    <n v="-100"/>
    <x v="0"/>
    <s v="Sat"/>
    <s v="Watch My Girl"/>
  </r>
  <r>
    <x v="11"/>
    <d v="1899-12-30T12:15:00"/>
    <x v="10"/>
    <n v="1"/>
    <n v="7"/>
    <s v="Bur Dubai"/>
    <s v="1st"/>
    <n v="3.1"/>
    <x v="0"/>
    <x v="1"/>
    <n v="100"/>
    <n v="310"/>
    <n v="210"/>
    <x v="1"/>
    <n v="620"/>
    <n v="420"/>
    <x v="0"/>
    <n v="200"/>
    <n v="620"/>
    <n v="420"/>
    <x v="0"/>
    <s v="Sat"/>
    <s v="Bur Dubai"/>
  </r>
  <r>
    <x v="11"/>
    <d v="1899-12-30T13:13:00"/>
    <x v="4"/>
    <n v="1"/>
    <n v="1"/>
    <s v="Free Carry"/>
    <m/>
    <m/>
    <x v="1"/>
    <x v="2"/>
    <n v="100"/>
    <s v=""/>
    <n v="-100"/>
    <x v="0"/>
    <s v=""/>
    <n v="-100"/>
    <x v="0"/>
    <n v="100"/>
    <s v=""/>
    <n v="-100"/>
    <x v="0"/>
    <s v="Sat"/>
    <s v="Free Carry"/>
  </r>
  <r>
    <x v="11"/>
    <d v="1899-12-30T13:48:00"/>
    <x v="4"/>
    <n v="2"/>
    <n v="7"/>
    <s v="Iverson"/>
    <s v="3rd"/>
    <m/>
    <x v="1"/>
    <x v="2"/>
    <n v="100"/>
    <s v=""/>
    <n v="-100"/>
    <x v="0"/>
    <s v=""/>
    <n v="-100"/>
    <x v="0"/>
    <n v="100"/>
    <s v=""/>
    <n v="-100"/>
    <x v="0"/>
    <s v="Sat"/>
    <s v="Iverson"/>
  </r>
  <r>
    <x v="11"/>
    <d v="1899-12-30T13:55:00"/>
    <x v="10"/>
    <n v="4"/>
    <n v="7"/>
    <s v="Capper Thirtynine"/>
    <m/>
    <m/>
    <x v="0"/>
    <x v="1"/>
    <n v="100"/>
    <s v=""/>
    <n v="-100"/>
    <x v="4"/>
    <s v=""/>
    <n v="-50"/>
    <x v="0"/>
    <n v="50"/>
    <s v=""/>
    <n v="-50"/>
    <x v="0"/>
    <s v="Sat"/>
    <s v="Capper Thirtynine"/>
  </r>
  <r>
    <x v="11"/>
    <d v="1899-12-30T14:15:00"/>
    <x v="5"/>
    <n v="4"/>
    <n v="3"/>
    <s v="Autumn Glow"/>
    <s v="1st"/>
    <n v="1.95"/>
    <x v="1"/>
    <x v="0"/>
    <n v="100"/>
    <n v="195"/>
    <n v="95"/>
    <x v="3"/>
    <n v="292.5"/>
    <n v="142.5"/>
    <x v="0"/>
    <n v="150"/>
    <n v="292.5"/>
    <n v="142.5"/>
    <x v="0"/>
    <s v="Sat"/>
    <s v="Autumn Glow"/>
  </r>
  <r>
    <x v="11"/>
    <d v="1899-12-30T14:30:00"/>
    <x v="10"/>
    <n v="5"/>
    <n v="2"/>
    <s v="Dashing Duchess"/>
    <m/>
    <m/>
    <x v="0"/>
    <x v="1"/>
    <n v="100"/>
    <s v=""/>
    <n v="-100"/>
    <x v="1"/>
    <s v=""/>
    <n v="-200"/>
    <x v="0"/>
    <n v="200"/>
    <s v=""/>
    <n v="-200"/>
    <x v="0"/>
    <s v="Sat"/>
    <s v="Dashing Duchess"/>
  </r>
  <r>
    <x v="11"/>
    <d v="1899-12-30T14:50:00"/>
    <x v="5"/>
    <n v="5"/>
    <n v="6"/>
    <s v="Via Sistina"/>
    <s v="1st"/>
    <n v="1.3"/>
    <x v="1"/>
    <x v="0"/>
    <n v="100"/>
    <n v="130"/>
    <n v="30"/>
    <x v="3"/>
    <n v="195"/>
    <n v="45"/>
    <x v="0"/>
    <n v="150"/>
    <n v="195"/>
    <n v="45"/>
    <x v="0"/>
    <s v="Sat"/>
    <s v="Via Sistina"/>
  </r>
  <r>
    <x v="11"/>
    <d v="1899-12-30T14:58:00"/>
    <x v="4"/>
    <n v="4"/>
    <n v="3"/>
    <s v="Devastate"/>
    <s v="2nd"/>
    <m/>
    <x v="1"/>
    <x v="2"/>
    <n v="100"/>
    <s v=""/>
    <n v="-100"/>
    <x v="0"/>
    <s v=""/>
    <n v="-100"/>
    <x v="0"/>
    <n v="100"/>
    <s v=""/>
    <n v="-100"/>
    <x v="0"/>
    <s v="Sat"/>
    <s v="Devastate"/>
  </r>
  <r>
    <x v="11"/>
    <d v="1899-12-30T15:33:00"/>
    <x v="4"/>
    <n v="5"/>
    <n v="9"/>
    <s v="Super Daisy"/>
    <s v="1st"/>
    <n v="3.8"/>
    <x v="1"/>
    <x v="2"/>
    <n v="100"/>
    <n v="380"/>
    <n v="280"/>
    <x v="0"/>
    <n v="380"/>
    <n v="280"/>
    <x v="0"/>
    <n v="100"/>
    <n v="380"/>
    <n v="280"/>
    <x v="0"/>
    <s v="Sat"/>
    <s v="Super Daisy"/>
  </r>
  <r>
    <x v="11"/>
    <d v="1899-12-30T16:47:00"/>
    <x v="4"/>
    <n v="7"/>
    <n v="5"/>
    <s v="Track Tale"/>
    <m/>
    <m/>
    <x v="1"/>
    <x v="2"/>
    <n v="100"/>
    <s v=""/>
    <n v="-100"/>
    <x v="0"/>
    <s v=""/>
    <n v="-100"/>
    <x v="0"/>
    <n v="100"/>
    <s v=""/>
    <n v="-100"/>
    <x v="0"/>
    <s v="Sat"/>
    <s v="Track Tale"/>
  </r>
  <r>
    <x v="11"/>
    <d v="1899-12-30T17:27:00"/>
    <x v="4"/>
    <n v="8"/>
    <n v="8"/>
    <s v="Ouroboros"/>
    <s v="1st"/>
    <n v="2.2000000000000002"/>
    <x v="1"/>
    <x v="2"/>
    <n v="100"/>
    <n v="220.00000000000003"/>
    <n v="120.00000000000003"/>
    <x v="0"/>
    <n v="220.00000000000003"/>
    <n v="120.00000000000003"/>
    <x v="0"/>
    <n v="100"/>
    <n v="220.00000000000003"/>
    <n v="120.00000000000003"/>
    <x v="0"/>
    <s v="Sat"/>
    <s v="Ouroboros"/>
  </r>
  <r>
    <x v="11"/>
    <d v="1899-12-30T17:35:00"/>
    <x v="10"/>
    <n v="10"/>
    <n v="8"/>
    <s v="Scillato"/>
    <m/>
    <m/>
    <x v="0"/>
    <x v="1"/>
    <n v="100"/>
    <s v=""/>
    <n v="-100"/>
    <x v="6"/>
    <s v=""/>
    <n v="-140"/>
    <x v="1"/>
    <n v="120"/>
    <s v=""/>
    <n v="-120"/>
    <x v="0"/>
    <s v="Sat"/>
    <s v="Scillato"/>
  </r>
  <r>
    <x v="11"/>
    <d v="1899-12-30T17:35:00"/>
    <x v="10"/>
    <n v="10"/>
    <n v="8"/>
    <s v="Scillato"/>
    <m/>
    <m/>
    <x v="1"/>
    <x v="1"/>
    <n v="100"/>
    <s v=""/>
    <n v="-100"/>
    <x v="0"/>
    <s v=""/>
    <n v="-100"/>
    <x v="0"/>
    <s v=""/>
    <s v=""/>
    <s v=""/>
    <x v="0"/>
    <s v="Sat"/>
    <s v="Scillato"/>
  </r>
  <r>
    <x v="11"/>
    <d v="1899-12-30T18:05:00"/>
    <x v="10"/>
    <n v="11"/>
    <n v="12"/>
    <s v="Moby Dick"/>
    <m/>
    <m/>
    <x v="1"/>
    <x v="1"/>
    <n v="100"/>
    <s v=""/>
    <n v="-100"/>
    <x v="0"/>
    <s v=""/>
    <n v="-100"/>
    <x v="0"/>
    <n v="100"/>
    <s v=""/>
    <n v="-100"/>
    <x v="0"/>
    <s v="Sat"/>
    <s v="Moby Dick"/>
  </r>
  <r>
    <x v="11"/>
    <d v="1899-12-30T18:05:00"/>
    <x v="10"/>
    <n v="11"/>
    <n v="10"/>
    <s v="Mytemptation"/>
    <m/>
    <m/>
    <x v="0"/>
    <x v="1"/>
    <n v="100"/>
    <s v=""/>
    <n v="-100"/>
    <x v="0"/>
    <s v=""/>
    <n v="-100"/>
    <x v="0"/>
    <n v="100"/>
    <s v=""/>
    <n v="-100"/>
    <x v="0"/>
    <s v="Sat"/>
    <s v="Mytemptation"/>
  </r>
  <r>
    <x v="11"/>
    <d v="1899-12-30T18:10:00"/>
    <x v="4"/>
    <n v="9"/>
    <n v="10"/>
    <s v="Keitel"/>
    <m/>
    <m/>
    <x v="1"/>
    <x v="2"/>
    <n v="100"/>
    <s v=""/>
    <n v="-100"/>
    <x v="0"/>
    <s v=""/>
    <n v="-100"/>
    <x v="0"/>
    <n v="100"/>
    <s v=""/>
    <n v="-100"/>
    <x v="0"/>
    <s v="Sat"/>
    <s v="Keitel"/>
  </r>
  <r>
    <x v="12"/>
    <d v="1899-12-30T12:15:00"/>
    <x v="2"/>
    <n v="1"/>
    <n v="1"/>
    <s v="A Little Deep"/>
    <s v="1st"/>
    <n v="5"/>
    <x v="0"/>
    <x v="1"/>
    <n v="100"/>
    <n v="500"/>
    <n v="400"/>
    <x v="0"/>
    <n v="500"/>
    <n v="400"/>
    <x v="0"/>
    <n v="100"/>
    <n v="500"/>
    <n v="400"/>
    <x v="0"/>
    <s v="Sat"/>
    <s v="A Little Deep"/>
  </r>
  <r>
    <x v="12"/>
    <d v="1899-12-30T12:15:00"/>
    <x v="2"/>
    <n v="1"/>
    <n v="2"/>
    <s v="Bossy Nic"/>
    <s v="3rd"/>
    <m/>
    <x v="0"/>
    <x v="1"/>
    <n v="100"/>
    <s v=""/>
    <n v="-100"/>
    <x v="3"/>
    <s v=""/>
    <n v="-150"/>
    <x v="0"/>
    <n v="150"/>
    <s v=""/>
    <n v="-150"/>
    <x v="0"/>
    <s v="Sat"/>
    <s v="Bossy Nic"/>
  </r>
  <r>
    <x v="12"/>
    <d v="1899-12-30T12:15:00"/>
    <x v="2"/>
    <n v="1"/>
    <n v="5"/>
    <s v="Material Dreams"/>
    <m/>
    <m/>
    <x v="1"/>
    <x v="1"/>
    <n v="100"/>
    <s v=""/>
    <n v="-100"/>
    <x v="0"/>
    <s v=""/>
    <n v="-100"/>
    <x v="0"/>
    <n v="100"/>
    <s v=""/>
    <n v="-100"/>
    <x v="0"/>
    <s v="Sat"/>
    <s v="Material Dreams"/>
  </r>
  <r>
    <x v="12"/>
    <d v="1899-12-30T13:55:00"/>
    <x v="2"/>
    <n v="4"/>
    <n v="1"/>
    <s v="Ndola"/>
    <s v="Ntd"/>
    <m/>
    <x v="0"/>
    <x v="1"/>
    <n v="100"/>
    <s v=""/>
    <n v="-100"/>
    <x v="4"/>
    <s v=""/>
    <n v="-50"/>
    <x v="1"/>
    <n v="75"/>
    <s v=""/>
    <n v="-75"/>
    <x v="0"/>
    <s v="Sat"/>
    <s v="Ndola"/>
  </r>
  <r>
    <x v="12"/>
    <d v="1899-12-30T13:55:00"/>
    <x v="2"/>
    <n v="4"/>
    <n v="1"/>
    <s v="Ndola"/>
    <s v="3rd"/>
    <m/>
    <x v="1"/>
    <x v="1"/>
    <n v="100"/>
    <s v=""/>
    <n v="-100"/>
    <x v="0"/>
    <s v=""/>
    <n v="-100"/>
    <x v="0"/>
    <s v=""/>
    <s v=""/>
    <s v=""/>
    <x v="0"/>
    <s v="Sat"/>
    <s v="Ndola"/>
  </r>
  <r>
    <x v="12"/>
    <d v="1899-12-30T14:30:00"/>
    <x v="2"/>
    <n v="5"/>
    <n v="11"/>
    <s v="Hellsing"/>
    <m/>
    <m/>
    <x v="0"/>
    <x v="1"/>
    <n v="100"/>
    <s v=""/>
    <n v="-100"/>
    <x v="3"/>
    <s v=""/>
    <n v="-150"/>
    <x v="0"/>
    <n v="150"/>
    <s v=""/>
    <n v="-150"/>
    <x v="0"/>
    <s v="Sat"/>
    <s v="Hellsing"/>
  </r>
  <r>
    <x v="12"/>
    <d v="1899-12-30T15:05:00"/>
    <x v="2"/>
    <n v="6"/>
    <n v="1"/>
    <s v="Oscar'S Fortune"/>
    <m/>
    <m/>
    <x v="0"/>
    <x v="1"/>
    <n v="100"/>
    <s v=""/>
    <n v="-100"/>
    <x v="3"/>
    <s v=""/>
    <n v="-150"/>
    <x v="0"/>
    <n v="150"/>
    <s v=""/>
    <n v="-150"/>
    <x v="0"/>
    <s v="Sat"/>
    <s v="Oscar'S Fortune"/>
  </r>
  <r>
    <x v="12"/>
    <d v="1899-12-30T16:15:00"/>
    <x v="2"/>
    <n v="8"/>
    <n v="6"/>
    <s v="Pride Of Jenni"/>
    <m/>
    <m/>
    <x v="0"/>
    <x v="1"/>
    <n v="100"/>
    <s v=""/>
    <n v="-100"/>
    <x v="3"/>
    <s v=""/>
    <n v="-150"/>
    <x v="0"/>
    <n v="150"/>
    <s v=""/>
    <n v="-150"/>
    <x v="0"/>
    <s v="Sat"/>
    <s v="Pride Of Jenni"/>
  </r>
  <r>
    <x v="12"/>
    <d v="1899-12-30T16:55:00"/>
    <x v="2"/>
    <n v="9"/>
    <n v="3"/>
    <s v="Deakin"/>
    <s v="1st"/>
    <n v="1.9"/>
    <x v="0"/>
    <x v="1"/>
    <n v="100"/>
    <n v="190"/>
    <n v="90"/>
    <x v="1"/>
    <n v="380"/>
    <n v="180"/>
    <x v="0"/>
    <n v="200"/>
    <n v="380"/>
    <n v="180"/>
    <x v="0"/>
    <s v="Sat"/>
    <s v="Deakin"/>
  </r>
  <r>
    <x v="13"/>
    <d v="1899-12-30T13:15:00"/>
    <x v="9"/>
    <n v="3"/>
    <n v="13"/>
    <s v="Just Glamourous"/>
    <s v="3rd"/>
    <m/>
    <x v="0"/>
    <x v="1"/>
    <n v="100"/>
    <s v=""/>
    <n v="-100"/>
    <x v="1"/>
    <s v=""/>
    <n v="-200"/>
    <x v="1"/>
    <n v="200"/>
    <s v=""/>
    <n v="-200"/>
    <x v="0"/>
    <s v="Sat"/>
    <s v="Just Glamourous"/>
  </r>
  <r>
    <x v="13"/>
    <d v="1899-12-30T13:15:00"/>
    <x v="9"/>
    <n v="3"/>
    <n v="13"/>
    <s v="Just Glamourous"/>
    <s v="3rd"/>
    <m/>
    <x v="1"/>
    <x v="1"/>
    <n v="100"/>
    <s v=""/>
    <n v="-100"/>
    <x v="1"/>
    <s v=""/>
    <n v="-200"/>
    <x v="0"/>
    <s v=""/>
    <s v=""/>
    <s v=""/>
    <x v="0"/>
    <s v="Sat"/>
    <s v="Just Glamourous"/>
  </r>
  <r>
    <x v="13"/>
    <d v="1899-12-30T13:35:00"/>
    <x v="0"/>
    <n v="3"/>
    <n v="3"/>
    <s v="Alalcance"/>
    <s v="1st"/>
    <n v="3"/>
    <x v="1"/>
    <x v="0"/>
    <n v="100"/>
    <n v="300"/>
    <n v="200"/>
    <x v="3"/>
    <n v="450"/>
    <n v="300"/>
    <x v="0"/>
    <n v="150"/>
    <n v="450"/>
    <n v="300"/>
    <x v="0"/>
    <s v="Sat"/>
    <s v="Alalcance"/>
  </r>
  <r>
    <x v="13"/>
    <d v="1899-12-30T13:50:00"/>
    <x v="9"/>
    <n v="4"/>
    <n v="2"/>
    <s v="Hughes"/>
    <s v="1st"/>
    <n v="5.5"/>
    <x v="1"/>
    <x v="1"/>
    <n v="100"/>
    <n v="550"/>
    <n v="450"/>
    <x v="0"/>
    <n v="550"/>
    <n v="450"/>
    <x v="0"/>
    <n v="100"/>
    <n v="550"/>
    <n v="450"/>
    <x v="0"/>
    <s v="Sat"/>
    <s v="Hughes"/>
  </r>
  <r>
    <x v="13"/>
    <d v="1899-12-30T14:15:00"/>
    <x v="0"/>
    <n v="3"/>
    <n v="3"/>
    <s v="Alalcance"/>
    <s v="1st"/>
    <n v="3"/>
    <x v="0"/>
    <x v="0"/>
    <n v="100"/>
    <n v="300"/>
    <n v="200"/>
    <x v="3"/>
    <n v="450"/>
    <n v="300"/>
    <x v="0"/>
    <n v="150"/>
    <n v="450"/>
    <n v="300"/>
    <x v="0"/>
    <s v="Sat"/>
    <s v="Alalcance"/>
  </r>
  <r>
    <x v="13"/>
    <d v="1899-12-30T15:35:00"/>
    <x v="9"/>
    <n v="7"/>
    <n v="9"/>
    <s v="Thames"/>
    <s v="2nd"/>
    <m/>
    <x v="1"/>
    <x v="1"/>
    <n v="100"/>
    <s v=""/>
    <n v="-100"/>
    <x v="0"/>
    <s v=""/>
    <n v="-100"/>
    <x v="0"/>
    <n v="100"/>
    <s v=""/>
    <n v="-100"/>
    <x v="0"/>
    <s v="Sat"/>
    <s v="Thames"/>
  </r>
  <r>
    <x v="13"/>
    <d v="1899-12-30T15:55:00"/>
    <x v="0"/>
    <n v="7"/>
    <n v="7"/>
    <s v="Joliestar"/>
    <m/>
    <m/>
    <x v="1"/>
    <x v="0"/>
    <n v="100"/>
    <s v=""/>
    <n v="-100"/>
    <x v="3"/>
    <s v=""/>
    <n v="-150"/>
    <x v="0"/>
    <n v="150"/>
    <s v=""/>
    <n v="-150"/>
    <x v="0"/>
    <s v="Sat"/>
    <s v="Joliestar"/>
  </r>
  <r>
    <x v="13"/>
    <d v="1899-12-30T16:15:00"/>
    <x v="9"/>
    <n v="8"/>
    <n v="6"/>
    <s v="Poison Chalice"/>
    <m/>
    <m/>
    <x v="1"/>
    <x v="1"/>
    <n v="100"/>
    <s v=""/>
    <n v="-100"/>
    <x v="0"/>
    <s v=""/>
    <n v="-100"/>
    <x v="0"/>
    <n v="100"/>
    <s v=""/>
    <n v="-100"/>
    <x v="0"/>
    <s v="Sat"/>
    <s v="Poison Chalice"/>
  </r>
  <r>
    <x v="13"/>
    <d v="1899-12-30T17:15:00"/>
    <x v="0"/>
    <n v="9"/>
    <n v="18"/>
    <s v="Aeliana"/>
    <s v="1st"/>
    <n v="2.4500000000000002"/>
    <x v="1"/>
    <x v="0"/>
    <n v="100"/>
    <n v="245.00000000000003"/>
    <n v="145.00000000000003"/>
    <x v="3"/>
    <n v="367.5"/>
    <n v="217.5"/>
    <x v="0"/>
    <n v="150"/>
    <n v="367.5"/>
    <n v="217.5"/>
    <x v="0"/>
    <s v="Sat"/>
    <s v="Aeliana"/>
  </r>
  <r>
    <x v="13"/>
    <d v="1899-12-30T17:35:00"/>
    <x v="9"/>
    <n v="10"/>
    <n v="1"/>
    <s v="Modown"/>
    <m/>
    <m/>
    <x v="0"/>
    <x v="1"/>
    <n v="100"/>
    <s v=""/>
    <n v="-100"/>
    <x v="3"/>
    <s v=""/>
    <n v="-150"/>
    <x v="0"/>
    <n v="150"/>
    <s v=""/>
    <n v="-150"/>
    <x v="0"/>
    <s v="Sat"/>
    <s v="Modown"/>
  </r>
  <r>
    <x v="13"/>
    <d v="1899-12-30T17:50:00"/>
    <x v="0"/>
    <n v="10"/>
    <n v="1"/>
    <s v="Clean Energy"/>
    <m/>
    <m/>
    <x v="1"/>
    <x v="0"/>
    <n v="100"/>
    <s v=""/>
    <n v="-100"/>
    <x v="3"/>
    <s v=""/>
    <n v="-150"/>
    <x v="0"/>
    <n v="150"/>
    <s v=""/>
    <n v="-150"/>
    <x v="0"/>
    <s v="Sat"/>
    <s v="Clean Energy"/>
  </r>
  <r>
    <x v="14"/>
    <d v="1899-12-30T12:05:00"/>
    <x v="11"/>
    <n v="1"/>
    <n v="5"/>
    <s v="Dschingis Prestige"/>
    <m/>
    <m/>
    <x v="0"/>
    <x v="1"/>
    <n v="100"/>
    <s v=""/>
    <n v="-100"/>
    <x v="1"/>
    <s v=""/>
    <n v="-200"/>
    <x v="0"/>
    <n v="200"/>
    <s v=""/>
    <n v="-200"/>
    <x v="0"/>
    <s v="Sat"/>
    <s v="Dschingis Prestige"/>
  </r>
  <r>
    <x v="14"/>
    <d v="1899-12-30T12:55:00"/>
    <x v="0"/>
    <n v="3"/>
    <n v="1"/>
    <s v="Matcha Latte"/>
    <s v="1st"/>
    <n v="4.4000000000000004"/>
    <x v="0"/>
    <x v="0"/>
    <n v="100"/>
    <n v="440.00000000000006"/>
    <n v="340.00000000000006"/>
    <x v="0"/>
    <n v="440.00000000000006"/>
    <n v="340.00000000000006"/>
    <x v="1"/>
    <n v="125"/>
    <n v="550"/>
    <n v="425"/>
    <x v="0"/>
    <s v="Sat"/>
    <s v="Matcha Latte"/>
  </r>
  <r>
    <x v="14"/>
    <d v="1899-12-30T12:55:00"/>
    <x v="0"/>
    <n v="3"/>
    <n v="1"/>
    <s v="Matcha Latte"/>
    <s v="1st"/>
    <n v="4.4000000000000004"/>
    <x v="1"/>
    <x v="0"/>
    <n v="100"/>
    <n v="440.00000000000006"/>
    <n v="340.00000000000006"/>
    <x v="3"/>
    <n v="660"/>
    <n v="510"/>
    <x v="0"/>
    <s v=""/>
    <s v=""/>
    <s v=""/>
    <x v="0"/>
    <s v="Sat"/>
    <s v="Matcha Latte"/>
  </r>
  <r>
    <x v="14"/>
    <d v="1899-12-30T13:03:00"/>
    <x v="7"/>
    <n v="3"/>
    <n v="15"/>
    <s v="Shes Got Veuve"/>
    <m/>
    <m/>
    <x v="1"/>
    <x v="2"/>
    <n v="100"/>
    <s v=""/>
    <n v="-100"/>
    <x v="0"/>
    <s v=""/>
    <n v="-100"/>
    <x v="0"/>
    <n v="100"/>
    <s v=""/>
    <n v="-100"/>
    <x v="0"/>
    <s v="Sat"/>
    <s v="Shes Got Veuve"/>
  </r>
  <r>
    <x v="14"/>
    <d v="1899-12-30T14:05:00"/>
    <x v="0"/>
    <n v="5"/>
    <n v="6"/>
    <s v="Big Swinger"/>
    <m/>
    <m/>
    <x v="1"/>
    <x v="0"/>
    <n v="100"/>
    <s v=""/>
    <n v="-100"/>
    <x v="3"/>
    <s v=""/>
    <n v="-150"/>
    <x v="0"/>
    <n v="150"/>
    <s v=""/>
    <n v="-150"/>
    <x v="0"/>
    <s v="Sat"/>
    <s v="Big Swinger"/>
  </r>
  <r>
    <x v="14"/>
    <d v="1899-12-30T14:20:00"/>
    <x v="11"/>
    <n v="5"/>
    <n v="3"/>
    <s v="Sweethearted"/>
    <s v="3rd"/>
    <m/>
    <x v="0"/>
    <x v="1"/>
    <n v="100"/>
    <s v=""/>
    <n v="-100"/>
    <x v="4"/>
    <s v=""/>
    <n v="-50"/>
    <x v="0"/>
    <n v="50"/>
    <s v=""/>
    <n v="-50"/>
    <x v="0"/>
    <s v="Sat"/>
    <s v="Sweethearted"/>
  </r>
  <r>
    <x v="14"/>
    <d v="1899-12-30T14:40:00"/>
    <x v="0"/>
    <n v="6"/>
    <n v="2"/>
    <s v="Treasurethe Moment"/>
    <s v="1st"/>
    <n v="1.6"/>
    <x v="1"/>
    <x v="0"/>
    <n v="100"/>
    <n v="160"/>
    <n v="60"/>
    <x v="3"/>
    <n v="240"/>
    <n v="90"/>
    <x v="0"/>
    <n v="150"/>
    <n v="240"/>
    <n v="90"/>
    <x v="0"/>
    <s v="Sat"/>
    <s v="Treasurethe Moment"/>
  </r>
  <r>
    <x v="14"/>
    <d v="1899-12-30T14:55:00"/>
    <x v="11"/>
    <n v="6"/>
    <n v="7"/>
    <s v="Harry Got Styles"/>
    <m/>
    <m/>
    <x v="1"/>
    <x v="1"/>
    <n v="100"/>
    <s v=""/>
    <n v="-100"/>
    <x v="1"/>
    <s v=""/>
    <n v="-200"/>
    <x v="0"/>
    <n v="200"/>
    <s v=""/>
    <n v="-200"/>
    <x v="0"/>
    <s v="Sat"/>
    <s v="Harry Got Styles"/>
  </r>
  <r>
    <x v="14"/>
    <d v="1899-12-30T15:55:00"/>
    <x v="0"/>
    <n v="8"/>
    <n v="12"/>
    <s v="Via Sistina"/>
    <s v="1st"/>
    <n v="2.1"/>
    <x v="1"/>
    <x v="0"/>
    <n v="100"/>
    <n v="210"/>
    <n v="110"/>
    <x v="3"/>
    <n v="315"/>
    <n v="165"/>
    <x v="0"/>
    <n v="150"/>
    <n v="315"/>
    <n v="165"/>
    <x v="0"/>
    <s v="Sat"/>
    <s v="Via Sistina"/>
  </r>
  <r>
    <x v="14"/>
    <d v="1899-12-30T17:10:00"/>
    <x v="0"/>
    <n v="10"/>
    <n v="3"/>
    <s v="Olentia"/>
    <m/>
    <m/>
    <x v="0"/>
    <x v="0"/>
    <n v="100"/>
    <s v=""/>
    <n v="-100"/>
    <x v="3"/>
    <s v=""/>
    <n v="-150"/>
    <x v="0"/>
    <n v="150"/>
    <s v=""/>
    <n v="-150"/>
    <x v="0"/>
    <s v="Sat"/>
    <s v="Olentia"/>
  </r>
  <r>
    <x v="14"/>
    <d v="1899-12-30T17:25:00"/>
    <x v="11"/>
    <n v="10"/>
    <n v="12"/>
    <s v="Pivot City"/>
    <s v="3rd"/>
    <m/>
    <x v="0"/>
    <x v="1"/>
    <n v="100"/>
    <s v=""/>
    <n v="-100"/>
    <x v="0"/>
    <s v=""/>
    <n v="-100"/>
    <x v="0"/>
    <n v="100"/>
    <s v=""/>
    <n v="-100"/>
    <x v="0"/>
    <s v="Sat"/>
    <s v="Pivot City"/>
  </r>
  <r>
    <x v="15"/>
    <d v="1899-12-30T11:25:00"/>
    <x v="0"/>
    <n v="1"/>
    <n v="12"/>
    <s v="Starboard"/>
    <m/>
    <m/>
    <x v="0"/>
    <x v="0"/>
    <n v="100"/>
    <s v=""/>
    <n v="-100"/>
    <x v="3"/>
    <s v=""/>
    <n v="-150"/>
    <x v="0"/>
    <n v="150"/>
    <s v=""/>
    <n v="-150"/>
    <x v="0"/>
    <s v="Sat"/>
    <s v="Starboard"/>
  </r>
  <r>
    <x v="15"/>
    <d v="1899-12-30T11:33:00"/>
    <x v="4"/>
    <n v="2"/>
    <n v="8"/>
    <s v="The Right Way"/>
    <m/>
    <m/>
    <x v="1"/>
    <x v="2"/>
    <n v="100"/>
    <s v=""/>
    <n v="-100"/>
    <x v="0"/>
    <s v=""/>
    <n v="-100"/>
    <x v="0"/>
    <n v="100"/>
    <s v=""/>
    <n v="-100"/>
    <x v="0"/>
    <s v="Sat"/>
    <s v="The Right Way"/>
  </r>
  <r>
    <x v="15"/>
    <d v="1899-12-30T12:08:00"/>
    <x v="4"/>
    <n v="3"/>
    <n v="10"/>
    <s v="Arisphere"/>
    <m/>
    <m/>
    <x v="1"/>
    <x v="2"/>
    <n v="100"/>
    <s v=""/>
    <n v="-100"/>
    <x v="0"/>
    <s v=""/>
    <n v="-100"/>
    <x v="0"/>
    <n v="100"/>
    <s v=""/>
    <n v="-100"/>
    <x v="0"/>
    <s v="Sat"/>
    <s v="Arisphere"/>
  </r>
  <r>
    <x v="15"/>
    <d v="1899-12-30T12:55:00"/>
    <x v="12"/>
    <n v="3"/>
    <n v="8"/>
    <s v="Fiasco Tess"/>
    <s v="3rd"/>
    <m/>
    <x v="0"/>
    <x v="1"/>
    <n v="100"/>
    <s v=""/>
    <n v="-100"/>
    <x v="3"/>
    <s v=""/>
    <n v="-150"/>
    <x v="0"/>
    <n v="150"/>
    <s v=""/>
    <n v="-150"/>
    <x v="0"/>
    <s v="Sat"/>
    <s v="Fiasco Tess"/>
  </r>
  <r>
    <x v="15"/>
    <d v="1899-12-30T12:55:00"/>
    <x v="12"/>
    <n v="3"/>
    <n v="2"/>
    <s v="Verdad"/>
    <s v="1st"/>
    <n v="2.35"/>
    <x v="0"/>
    <x v="1"/>
    <n v="100"/>
    <n v="235"/>
    <n v="135"/>
    <x v="2"/>
    <n v="282"/>
    <n v="162"/>
    <x v="0"/>
    <n v="120"/>
    <n v="282"/>
    <n v="162"/>
    <x v="0"/>
    <s v="Sat"/>
    <s v="Verdad"/>
  </r>
  <r>
    <x v="15"/>
    <d v="1899-12-30T13:30:00"/>
    <x v="12"/>
    <n v="4"/>
    <n v="3"/>
    <s v="Foujita San"/>
    <s v="2nd"/>
    <m/>
    <x v="0"/>
    <x v="1"/>
    <n v="100"/>
    <s v=""/>
    <n v="-100"/>
    <x v="0"/>
    <s v=""/>
    <n v="-100"/>
    <x v="0"/>
    <n v="100"/>
    <s v=""/>
    <n v="-100"/>
    <x v="0"/>
    <s v="Sat"/>
    <s v="Foujita San"/>
  </r>
  <r>
    <x v="15"/>
    <d v="1899-12-30T14:25:00"/>
    <x v="0"/>
    <n v="6"/>
    <n v="6"/>
    <s v="New Endeavour"/>
    <s v="3rd"/>
    <m/>
    <x v="0"/>
    <x v="0"/>
    <n v="100"/>
    <s v=""/>
    <n v="-100"/>
    <x v="3"/>
    <s v=""/>
    <n v="-150"/>
    <x v="0"/>
    <n v="150"/>
    <s v=""/>
    <n v="-150"/>
    <x v="0"/>
    <s v="Sat"/>
    <s v="New Endeavour"/>
  </r>
  <r>
    <x v="15"/>
    <d v="1899-12-30T14:40:00"/>
    <x v="12"/>
    <n v="6"/>
    <n v="5"/>
    <s v="Thames"/>
    <s v="2nd"/>
    <m/>
    <x v="0"/>
    <x v="1"/>
    <n v="100"/>
    <s v=""/>
    <n v="-100"/>
    <x v="4"/>
    <s v=""/>
    <n v="-50"/>
    <x v="1"/>
    <n v="100"/>
    <s v=""/>
    <n v="-100"/>
    <x v="0"/>
    <s v="Sat"/>
    <s v="Thames"/>
  </r>
  <r>
    <x v="15"/>
    <d v="1899-12-30T14:40:00"/>
    <x v="12"/>
    <n v="6"/>
    <n v="5"/>
    <s v="Thames"/>
    <s v="2nd"/>
    <m/>
    <x v="1"/>
    <x v="1"/>
    <n v="100"/>
    <s v=""/>
    <n v="-100"/>
    <x v="3"/>
    <s v=""/>
    <n v="-150"/>
    <x v="0"/>
    <s v=""/>
    <s v=""/>
    <s v=""/>
    <x v="0"/>
    <s v="Sat"/>
    <s v="Thames"/>
  </r>
  <r>
    <x v="15"/>
    <d v="1899-12-30T15:20:00"/>
    <x v="12"/>
    <n v="7"/>
    <n v="7"/>
    <s v="Fear No Evil"/>
    <s v="3rd"/>
    <m/>
    <x v="0"/>
    <x v="1"/>
    <n v="100"/>
    <s v=""/>
    <n v="-100"/>
    <x v="4"/>
    <s v=""/>
    <n v="-50"/>
    <x v="0"/>
    <n v="50"/>
    <s v=""/>
    <n v="-50"/>
    <x v="0"/>
    <s v="Sat"/>
    <s v="Fear No Evil"/>
  </r>
  <r>
    <x v="15"/>
    <d v="1899-12-30T16:00:00"/>
    <x v="12"/>
    <n v="8"/>
    <n v="6"/>
    <s v="Berkshire Breeze"/>
    <m/>
    <m/>
    <x v="0"/>
    <x v="1"/>
    <n v="100"/>
    <s v=""/>
    <n v="-100"/>
    <x v="0"/>
    <s v=""/>
    <n v="-100"/>
    <x v="0"/>
    <n v="100"/>
    <s v=""/>
    <n v="-100"/>
    <x v="0"/>
    <s v="Sat"/>
    <s v="Berkshire Breeze"/>
  </r>
  <r>
    <x v="15"/>
    <d v="1899-12-30T16:20:00"/>
    <x v="0"/>
    <n v="9"/>
    <n v="5"/>
    <s v="Mazu"/>
    <s v="1st"/>
    <n v="4.4000000000000004"/>
    <x v="0"/>
    <x v="0"/>
    <n v="100"/>
    <n v="440.00000000000006"/>
    <n v="340.00000000000006"/>
    <x v="1"/>
    <n v="880.00000000000011"/>
    <n v="680.00000000000011"/>
    <x v="0"/>
    <n v="200"/>
    <n v="880.00000000000011"/>
    <n v="680.00000000000011"/>
    <x v="0"/>
    <s v="Sat"/>
    <s v="Mazu"/>
  </r>
  <r>
    <x v="15"/>
    <d v="1899-12-30T17:10:00"/>
    <x v="12"/>
    <n v="10"/>
    <n v="8"/>
    <s v="Namesake"/>
    <s v="1st"/>
    <n v="3.7"/>
    <x v="0"/>
    <x v="1"/>
    <n v="100"/>
    <n v="370"/>
    <n v="270"/>
    <x v="5"/>
    <n v="592"/>
    <n v="432"/>
    <x v="1"/>
    <n v="180"/>
    <n v="666"/>
    <n v="486"/>
    <x v="0"/>
    <s v="Sat"/>
    <s v="Namesake"/>
  </r>
  <r>
    <x v="15"/>
    <d v="1899-12-30T17:10:00"/>
    <x v="12"/>
    <n v="10"/>
    <n v="8"/>
    <s v="Namesake"/>
    <s v="1st"/>
    <n v="3.7"/>
    <x v="1"/>
    <x v="1"/>
    <n v="100"/>
    <n v="370"/>
    <n v="270"/>
    <x v="1"/>
    <n v="740"/>
    <n v="540"/>
    <x v="0"/>
    <s v=""/>
    <s v=""/>
    <s v=""/>
    <x v="0"/>
    <s v="Sat"/>
    <s v="Namesake"/>
  </r>
  <r>
    <x v="15"/>
    <d v="1899-12-30T17:10:00"/>
    <x v="12"/>
    <n v="10"/>
    <n v="2"/>
    <s v="Prancing Spirit"/>
    <s v="2nd"/>
    <m/>
    <x v="0"/>
    <x v="1"/>
    <n v="100"/>
    <s v=""/>
    <n v="-100"/>
    <x v="3"/>
    <s v=""/>
    <n v="-150"/>
    <x v="0"/>
    <n v="150"/>
    <s v=""/>
    <n v="-150"/>
    <x v="0"/>
    <s v="Sat"/>
    <s v="Prancing Spirit"/>
  </r>
  <r>
    <x v="16"/>
    <d v="1899-12-30T12:05:00"/>
    <x v="0"/>
    <n v="2"/>
    <n v="2"/>
    <s v="Oakfield Badger"/>
    <s v="2nd"/>
    <m/>
    <x v="0"/>
    <x v="0"/>
    <n v="100"/>
    <s v=""/>
    <n v="-100"/>
    <x v="0"/>
    <s v=""/>
    <n v="-100"/>
    <x v="0"/>
    <n v="100"/>
    <s v=""/>
    <n v="-100"/>
    <x v="0"/>
    <s v="Sat"/>
    <s v="Oakfield Badger"/>
  </r>
  <r>
    <x v="16"/>
    <d v="1899-12-30T12:55:00"/>
    <x v="10"/>
    <n v="2"/>
    <n v="4"/>
    <s v="Elouyou"/>
    <s v="1st"/>
    <n v="1.7"/>
    <x v="0"/>
    <x v="1"/>
    <n v="100"/>
    <n v="170"/>
    <n v="70"/>
    <x v="0"/>
    <n v="170"/>
    <n v="70"/>
    <x v="1"/>
    <n v="150"/>
    <n v="255"/>
    <n v="105"/>
    <x v="0"/>
    <s v="Sat"/>
    <s v="Elouyou"/>
  </r>
  <r>
    <x v="16"/>
    <d v="1899-12-30T12:55:00"/>
    <x v="10"/>
    <n v="2"/>
    <n v="4"/>
    <s v="Elouyou"/>
    <s v="1st"/>
    <n v="1.7"/>
    <x v="1"/>
    <x v="1"/>
    <n v="100"/>
    <n v="170"/>
    <n v="70"/>
    <x v="1"/>
    <n v="340"/>
    <n v="140"/>
    <x v="0"/>
    <s v=""/>
    <s v=""/>
    <s v=""/>
    <x v="0"/>
    <s v="Sat"/>
    <s v="Elouyou"/>
  </r>
  <r>
    <x v="16"/>
    <d v="1899-12-30T13:30:00"/>
    <x v="10"/>
    <n v="3"/>
    <n v="8"/>
    <s v="Happy Link"/>
    <m/>
    <m/>
    <x v="1"/>
    <x v="1"/>
    <n v="100"/>
    <s v=""/>
    <n v="-100"/>
    <x v="1"/>
    <s v=""/>
    <n v="-200"/>
    <x v="0"/>
    <n v="200"/>
    <s v=""/>
    <n v="-200"/>
    <x v="0"/>
    <s v="Sat"/>
    <s v="Happy Link"/>
  </r>
  <r>
    <x v="16"/>
    <d v="1899-12-30T14:05:00"/>
    <x v="10"/>
    <n v="4"/>
    <n v="5"/>
    <s v="Gitalong"/>
    <s v="2nd"/>
    <m/>
    <x v="0"/>
    <x v="1"/>
    <n v="100"/>
    <s v=""/>
    <n v="-100"/>
    <x v="4"/>
    <s v=""/>
    <n v="-50"/>
    <x v="0"/>
    <n v="50"/>
    <s v=""/>
    <n v="-50"/>
    <x v="0"/>
    <s v="Sat"/>
    <s v="Gitalong"/>
  </r>
  <r>
    <x v="16"/>
    <d v="1899-12-30T14:05:00"/>
    <x v="10"/>
    <n v="4"/>
    <n v="3"/>
    <s v="New York Lustre"/>
    <s v="1st"/>
    <n v="2.5"/>
    <x v="0"/>
    <x v="1"/>
    <n v="100"/>
    <n v="250"/>
    <n v="150"/>
    <x v="0"/>
    <n v="250"/>
    <n v="150"/>
    <x v="0"/>
    <n v="100"/>
    <n v="250"/>
    <n v="150"/>
    <x v="0"/>
    <s v="Sat"/>
    <s v="New York Lustre"/>
  </r>
  <r>
    <x v="16"/>
    <d v="1899-12-30T14:40:00"/>
    <x v="10"/>
    <n v="5"/>
    <n v="2"/>
    <s v="Nicolini Vito"/>
    <m/>
    <m/>
    <x v="0"/>
    <x v="1"/>
    <n v="100"/>
    <s v=""/>
    <n v="-100"/>
    <x v="0"/>
    <s v=""/>
    <n v="-100"/>
    <x v="0"/>
    <n v="100"/>
    <s v=""/>
    <n v="-100"/>
    <x v="0"/>
    <s v="Sat"/>
    <s v="Nicolini Vito"/>
  </r>
  <r>
    <x v="16"/>
    <d v="1899-12-30T15:35:00"/>
    <x v="0"/>
    <n v="8"/>
    <n v="3"/>
    <s v="Ducasse"/>
    <m/>
    <m/>
    <x v="0"/>
    <x v="0"/>
    <n v="100"/>
    <s v=""/>
    <n v="-100"/>
    <x v="0"/>
    <s v=""/>
    <n v="-100"/>
    <x v="0"/>
    <n v="100"/>
    <s v=""/>
    <n v="-100"/>
    <x v="0"/>
    <s v="Sat"/>
    <s v="Ducasse"/>
  </r>
  <r>
    <x v="16"/>
    <d v="1899-12-30T16:30:00"/>
    <x v="10"/>
    <n v="8"/>
    <n v="4"/>
    <s v="Khor"/>
    <m/>
    <m/>
    <x v="0"/>
    <x v="1"/>
    <n v="100"/>
    <s v=""/>
    <n v="-100"/>
    <x v="0"/>
    <s v=""/>
    <n v="-100"/>
    <x v="0"/>
    <n v="100"/>
    <s v=""/>
    <n v="-100"/>
    <x v="0"/>
    <s v="Sat"/>
    <s v="Khor"/>
  </r>
  <r>
    <x v="16"/>
    <d v="1899-12-30T16:30:00"/>
    <x v="10"/>
    <n v="8"/>
    <n v="7"/>
    <s v="Roguery"/>
    <m/>
    <m/>
    <x v="0"/>
    <x v="1"/>
    <n v="100"/>
    <s v=""/>
    <n v="-100"/>
    <x v="4"/>
    <s v=""/>
    <n v="-50"/>
    <x v="0"/>
    <n v="50"/>
    <s v=""/>
    <n v="-50"/>
    <x v="0"/>
    <s v="Sat"/>
    <s v="Roguery"/>
  </r>
  <r>
    <x v="16"/>
    <d v="1899-12-30T17:10:00"/>
    <x v="10"/>
    <n v="9"/>
    <n v="8"/>
    <s v="Waimarie"/>
    <s v="1st"/>
    <n v="3"/>
    <x v="0"/>
    <x v="1"/>
    <n v="100"/>
    <n v="300"/>
    <n v="200"/>
    <x v="3"/>
    <n v="450"/>
    <n v="300"/>
    <x v="0"/>
    <n v="150"/>
    <n v="450"/>
    <n v="300"/>
    <x v="0"/>
    <s v="Sat"/>
    <s v="Waimarie"/>
  </r>
  <r>
    <x v="17"/>
    <d v="1899-12-30T12:38:00"/>
    <x v="4"/>
    <n v="2"/>
    <n v="4"/>
    <s v="Floozie"/>
    <s v="1st"/>
    <n v="1.6"/>
    <x v="1"/>
    <x v="2"/>
    <n v="100"/>
    <n v="160"/>
    <n v="60"/>
    <x v="0"/>
    <n v="160"/>
    <n v="60"/>
    <x v="0"/>
    <n v="100"/>
    <n v="160"/>
    <n v="60"/>
    <x v="0"/>
    <s v="Sat"/>
    <s v="Floozie"/>
  </r>
  <r>
    <x v="17"/>
    <d v="1899-12-30T12:45:00"/>
    <x v="9"/>
    <n v="2"/>
    <n v="5"/>
    <s v="Smart Little Miss"/>
    <s v="Ntd"/>
    <m/>
    <x v="0"/>
    <x v="1"/>
    <n v="100"/>
    <s v=""/>
    <n v="-100"/>
    <x v="0"/>
    <s v=""/>
    <n v="-100"/>
    <x v="0"/>
    <n v="100"/>
    <s v=""/>
    <n v="-100"/>
    <x v="0"/>
    <s v="Sat"/>
    <s v="Smart Little Miss"/>
  </r>
  <r>
    <x v="17"/>
    <d v="1899-12-30T13:20:00"/>
    <x v="9"/>
    <n v="3"/>
    <n v="3"/>
    <s v="Scampi"/>
    <m/>
    <m/>
    <x v="0"/>
    <x v="1"/>
    <n v="100"/>
    <s v=""/>
    <n v="-100"/>
    <x v="4"/>
    <s v=""/>
    <n v="-50"/>
    <x v="0"/>
    <n v="50"/>
    <s v=""/>
    <n v="-50"/>
    <x v="0"/>
    <s v="Sat"/>
    <s v="Scampi"/>
  </r>
  <r>
    <x v="17"/>
    <d v="1899-12-30T13:48:00"/>
    <x v="4"/>
    <n v="4"/>
    <n v="9"/>
    <s v="Demon Darb"/>
    <m/>
    <m/>
    <x v="1"/>
    <x v="2"/>
    <n v="100"/>
    <s v=""/>
    <n v="-100"/>
    <x v="0"/>
    <s v=""/>
    <n v="-100"/>
    <x v="0"/>
    <n v="100"/>
    <s v=""/>
    <n v="-100"/>
    <x v="0"/>
    <s v="Sat"/>
    <s v="Demon Darb"/>
  </r>
  <r>
    <x v="17"/>
    <d v="1899-12-30T13:55:00"/>
    <x v="9"/>
    <n v="4"/>
    <n v="7"/>
    <s v="Sugar Coat"/>
    <m/>
    <m/>
    <x v="1"/>
    <x v="1"/>
    <n v="100"/>
    <s v=""/>
    <n v="-100"/>
    <x v="0"/>
    <s v=""/>
    <n v="-100"/>
    <x v="0"/>
    <n v="100"/>
    <s v=""/>
    <n v="-100"/>
    <x v="0"/>
    <s v="Sat"/>
    <s v="Sugar Coat"/>
  </r>
  <r>
    <x v="17"/>
    <d v="1899-12-30T14:23:00"/>
    <x v="4"/>
    <n v="5"/>
    <n v="11"/>
    <s v="Anemacore"/>
    <m/>
    <m/>
    <x v="1"/>
    <x v="2"/>
    <n v="100"/>
    <s v=""/>
    <n v="-100"/>
    <x v="0"/>
    <s v=""/>
    <n v="-100"/>
    <x v="0"/>
    <n v="100"/>
    <s v=""/>
    <n v="-100"/>
    <x v="0"/>
    <s v="Sat"/>
    <s v="Anemacore"/>
  </r>
  <r>
    <x v="17"/>
    <d v="1899-12-30T14:30:00"/>
    <x v="9"/>
    <n v="5"/>
    <n v="7"/>
    <s v="Perilous Fighter"/>
    <m/>
    <m/>
    <x v="0"/>
    <x v="1"/>
    <n v="100"/>
    <s v=""/>
    <n v="-100"/>
    <x v="4"/>
    <s v=""/>
    <n v="-50"/>
    <x v="0"/>
    <n v="50"/>
    <s v=""/>
    <n v="-50"/>
    <x v="0"/>
    <s v="Sat"/>
    <s v="Perilous Fighter"/>
  </r>
  <r>
    <x v="17"/>
    <d v="1899-12-30T15:05:00"/>
    <x v="9"/>
    <n v="6"/>
    <n v="3"/>
    <s v="Immediacy"/>
    <s v="1st"/>
    <n v="1.7"/>
    <x v="0"/>
    <x v="1"/>
    <n v="100"/>
    <n v="170"/>
    <n v="70"/>
    <x v="1"/>
    <n v="340"/>
    <n v="140"/>
    <x v="0"/>
    <n v="200"/>
    <n v="340"/>
    <n v="140"/>
    <x v="0"/>
    <s v="Sat"/>
    <s v="Immediacy"/>
  </r>
  <r>
    <x v="17"/>
    <d v="1899-12-30T15:25:00"/>
    <x v="13"/>
    <n v="8"/>
    <n v="12"/>
    <s v="Matcha Latte"/>
    <m/>
    <m/>
    <x v="0"/>
    <x v="0"/>
    <n v="100"/>
    <s v=""/>
    <n v="-100"/>
    <x v="0"/>
    <s v=""/>
    <n v="-100"/>
    <x v="0"/>
    <n v="100"/>
    <s v=""/>
    <n v="-100"/>
    <x v="0"/>
    <s v="Sat"/>
    <s v="Matcha Latte"/>
  </r>
  <r>
    <x v="17"/>
    <d v="1899-12-30T16:20:00"/>
    <x v="9"/>
    <n v="8"/>
    <n v="2"/>
    <s v="Regal Zeus"/>
    <m/>
    <m/>
    <x v="0"/>
    <x v="1"/>
    <n v="100"/>
    <s v=""/>
    <n v="-100"/>
    <x v="3"/>
    <s v=""/>
    <n v="-150"/>
    <x v="0"/>
    <n v="150"/>
    <s v=""/>
    <n v="-150"/>
    <x v="0"/>
    <s v="Sat"/>
    <s v="Regal Zeus"/>
  </r>
  <r>
    <x v="17"/>
    <d v="1899-12-30T16:45:00"/>
    <x v="13"/>
    <n v="10"/>
    <n v="7"/>
    <s v="Gallant Star"/>
    <s v="2nd"/>
    <m/>
    <x v="0"/>
    <x v="0"/>
    <n v="100"/>
    <s v=""/>
    <n v="-100"/>
    <x v="3"/>
    <s v=""/>
    <n v="-150"/>
    <x v="0"/>
    <n v="150"/>
    <s v=""/>
    <n v="-150"/>
    <x v="0"/>
    <s v="Sat"/>
    <s v="Gallant Star"/>
  </r>
  <r>
    <x v="17"/>
    <d v="1899-12-30T16:55:00"/>
    <x v="9"/>
    <n v="9"/>
    <n v="7"/>
    <s v="Hughes"/>
    <s v="3rd"/>
    <m/>
    <x v="0"/>
    <x v="1"/>
    <n v="100"/>
    <s v=""/>
    <n v="-100"/>
    <x v="0"/>
    <s v=""/>
    <n v="-100"/>
    <x v="0"/>
    <n v="100"/>
    <s v=""/>
    <n v="-100"/>
    <x v="0"/>
    <s v="Sat"/>
    <s v="Hughes"/>
  </r>
  <r>
    <x v="18"/>
    <d v="1899-12-30T12:40:00"/>
    <x v="9"/>
    <n v="2"/>
    <n v="6"/>
    <s v="Fernao"/>
    <s v="1st"/>
    <n v="3.3"/>
    <x v="0"/>
    <x v="1"/>
    <n v="100"/>
    <n v="330"/>
    <n v="230"/>
    <x v="0"/>
    <n v="330"/>
    <n v="230"/>
    <x v="0"/>
    <n v="100"/>
    <n v="330"/>
    <n v="230"/>
    <x v="0"/>
    <s v="Sat"/>
    <s v="Fernao"/>
  </r>
  <r>
    <x v="18"/>
    <d v="1899-12-30T12:40:00"/>
    <x v="9"/>
    <n v="2"/>
    <n v="1"/>
    <s v="Ziryab"/>
    <s v="3rd"/>
    <m/>
    <x v="0"/>
    <x v="1"/>
    <n v="100"/>
    <s v=""/>
    <n v="-100"/>
    <x v="3"/>
    <s v=""/>
    <n v="-150"/>
    <x v="0"/>
    <n v="150"/>
    <s v=""/>
    <n v="-150"/>
    <x v="0"/>
    <s v="Sat"/>
    <s v="Ziryab"/>
  </r>
  <r>
    <x v="18"/>
    <d v="1899-12-30T13:00:00"/>
    <x v="14"/>
    <n v="4"/>
    <n v="2"/>
    <s v="Enter The Dragon"/>
    <s v="1st"/>
    <n v="11"/>
    <x v="0"/>
    <x v="0"/>
    <n v="100"/>
    <n v="1100"/>
    <n v="1000"/>
    <x v="0"/>
    <n v="1100"/>
    <n v="1000"/>
    <x v="0"/>
    <n v="100"/>
    <n v="1100"/>
    <n v="1000"/>
    <x v="0"/>
    <s v="Sat"/>
    <s v="Enter The Dragon"/>
  </r>
  <r>
    <x v="18"/>
    <d v="1899-12-30T13:35:00"/>
    <x v="14"/>
    <n v="5"/>
    <n v="14"/>
    <s v="Mr Buster"/>
    <m/>
    <m/>
    <x v="1"/>
    <x v="0"/>
    <n v="100"/>
    <s v=""/>
    <n v="-100"/>
    <x v="3"/>
    <s v=""/>
    <n v="-150"/>
    <x v="0"/>
    <n v="150"/>
    <s v=""/>
    <n v="-150"/>
    <x v="0"/>
    <s v="Sat"/>
    <s v="Mr Buster"/>
  </r>
  <r>
    <x v="18"/>
    <d v="1899-12-30T13:50:00"/>
    <x v="9"/>
    <n v="4"/>
    <n v="6"/>
    <s v="Madiyya"/>
    <s v="1st"/>
    <n v="2.1"/>
    <x v="0"/>
    <x v="1"/>
    <n v="100"/>
    <n v="210"/>
    <n v="110"/>
    <x v="2"/>
    <n v="252"/>
    <n v="132"/>
    <x v="1"/>
    <n v="110"/>
    <n v="231"/>
    <n v="121"/>
    <x v="0"/>
    <s v="Sat"/>
    <s v="Madiyya"/>
  </r>
  <r>
    <x v="18"/>
    <d v="1899-12-30T13:50:00"/>
    <x v="9"/>
    <n v="4"/>
    <n v="6"/>
    <s v="Madiyya"/>
    <s v="1st"/>
    <n v="2.1"/>
    <x v="1"/>
    <x v="1"/>
    <n v="100"/>
    <n v="210"/>
    <n v="110"/>
    <x v="0"/>
    <n v="210"/>
    <n v="110"/>
    <x v="0"/>
    <s v=""/>
    <s v=""/>
    <s v=""/>
    <x v="0"/>
    <s v="Sat"/>
    <s v="Madiyya"/>
  </r>
  <r>
    <x v="18"/>
    <d v="1899-12-30T15:20:00"/>
    <x v="14"/>
    <n v="8"/>
    <n v="10"/>
    <s v="Know Thyself"/>
    <s v="1st"/>
    <n v="3"/>
    <x v="0"/>
    <x v="0"/>
    <n v="100"/>
    <n v="300"/>
    <n v="200"/>
    <x v="3"/>
    <n v="450"/>
    <n v="300"/>
    <x v="0"/>
    <n v="150"/>
    <n v="450"/>
    <n v="300"/>
    <x v="0"/>
    <s v="Sat"/>
    <s v="Know Thyself"/>
  </r>
  <r>
    <x v="18"/>
    <d v="1899-12-30T16:00:00"/>
    <x v="14"/>
    <n v="9"/>
    <n v="15"/>
    <s v="Accredited"/>
    <m/>
    <m/>
    <x v="0"/>
    <x v="0"/>
    <n v="100"/>
    <s v=""/>
    <n v="-100"/>
    <x v="0"/>
    <s v=""/>
    <n v="-100"/>
    <x v="0"/>
    <n v="100"/>
    <s v=""/>
    <n v="-100"/>
    <x v="0"/>
    <s v="Sat"/>
    <s v="Accredited"/>
  </r>
  <r>
    <x v="18"/>
    <d v="1899-12-30T16:15:00"/>
    <x v="9"/>
    <n v="8"/>
    <n v="8"/>
    <s v="War Machine"/>
    <s v="1st"/>
    <n v="2.2999999999999998"/>
    <x v="0"/>
    <x v="1"/>
    <n v="100"/>
    <n v="229.99999999999997"/>
    <n v="129.99999999999997"/>
    <x v="0"/>
    <n v="229.99999999999997"/>
    <n v="129.99999999999997"/>
    <x v="0"/>
    <n v="100"/>
    <n v="229.99999999999997"/>
    <n v="129.99999999999997"/>
    <x v="0"/>
    <s v="Sat"/>
    <s v="War Machine"/>
  </r>
  <r>
    <x v="18"/>
    <d v="1899-12-30T16:40:00"/>
    <x v="14"/>
    <n v="10"/>
    <n v="10"/>
    <s v="Raikkonen"/>
    <s v="1st"/>
    <n v="2.8"/>
    <x v="0"/>
    <x v="0"/>
    <n v="100"/>
    <n v="280"/>
    <n v="180"/>
    <x v="3"/>
    <n v="420"/>
    <n v="270"/>
    <x v="0"/>
    <n v="150"/>
    <n v="420"/>
    <n v="270"/>
    <x v="0"/>
    <s v="Sat"/>
    <s v="Raikkonen"/>
  </r>
  <r>
    <x v="19"/>
    <d v="1899-12-30T11:05:00"/>
    <x v="15"/>
    <n v="1"/>
    <n v="5"/>
    <s v="Jumeirah Beach"/>
    <m/>
    <m/>
    <x v="0"/>
    <x v="0"/>
    <n v="100"/>
    <s v=""/>
    <n v="-100"/>
    <x v="3"/>
    <s v=""/>
    <n v="-150"/>
    <x v="0"/>
    <n v="150"/>
    <s v=""/>
    <n v="-150"/>
    <x v="0"/>
    <s v="Sat"/>
    <s v="Jumeirah Beach"/>
  </r>
  <r>
    <x v="19"/>
    <d v="1899-12-30T11:55:00"/>
    <x v="2"/>
    <n v="1"/>
    <n v="5"/>
    <s v="Madame Maserati"/>
    <s v="1st"/>
    <n v="13"/>
    <x v="1"/>
    <x v="1"/>
    <n v="100"/>
    <n v="1300"/>
    <n v="1200"/>
    <x v="0"/>
    <n v="1300"/>
    <n v="1200"/>
    <x v="0"/>
    <n v="100"/>
    <n v="1300"/>
    <n v="1200"/>
    <x v="0"/>
    <s v="Sat"/>
    <s v="Madame Maserati"/>
  </r>
  <r>
    <x v="19"/>
    <d v="1899-12-30T12:50:00"/>
    <x v="15"/>
    <n v="4"/>
    <n v="5"/>
    <s v="Oh Diamond Lil"/>
    <s v="1st"/>
    <n v="2.9"/>
    <x v="0"/>
    <x v="0"/>
    <n v="100"/>
    <n v="290"/>
    <n v="190"/>
    <x v="1"/>
    <n v="580"/>
    <n v="380"/>
    <x v="0"/>
    <n v="200"/>
    <n v="580"/>
    <n v="380"/>
    <x v="0"/>
    <s v="Sat"/>
    <s v="Oh Diamond Lil"/>
  </r>
  <r>
    <x v="19"/>
    <d v="1899-12-30T13:40:00"/>
    <x v="2"/>
    <n v="4"/>
    <n v="2"/>
    <s v="Nostringsattached"/>
    <m/>
    <m/>
    <x v="1"/>
    <x v="1"/>
    <n v="100"/>
    <s v=""/>
    <n v="-100"/>
    <x v="0"/>
    <s v=""/>
    <n v="-100"/>
    <x v="0"/>
    <n v="100"/>
    <s v=""/>
    <n v="-100"/>
    <x v="0"/>
    <s v="Sat"/>
    <s v="Nostringsattached"/>
  </r>
  <r>
    <x v="19"/>
    <d v="1899-12-30T14:00:00"/>
    <x v="15"/>
    <n v="6"/>
    <n v="6"/>
    <s v="Zealously"/>
    <s v="1st"/>
    <n v="3.9"/>
    <x v="0"/>
    <x v="0"/>
    <n v="100"/>
    <n v="390"/>
    <n v="290"/>
    <x v="3"/>
    <n v="585"/>
    <n v="435"/>
    <x v="1"/>
    <n v="150"/>
    <n v="585"/>
    <n v="435"/>
    <x v="0"/>
    <s v="Sat"/>
    <s v="Zealously"/>
  </r>
  <r>
    <x v="19"/>
    <d v="1899-12-30T14:00:00"/>
    <x v="15"/>
    <n v="6"/>
    <n v="6"/>
    <s v="Zealously"/>
    <s v="1st"/>
    <n v="3.9"/>
    <x v="1"/>
    <x v="0"/>
    <n v="100"/>
    <n v="390"/>
    <n v="290"/>
    <x v="3"/>
    <n v="585"/>
    <n v="435"/>
    <x v="0"/>
    <s v=""/>
    <s v=""/>
    <s v=""/>
    <x v="0"/>
    <s v="Sat"/>
    <s v="Zealously"/>
  </r>
  <r>
    <x v="19"/>
    <d v="1899-12-30T14:50:00"/>
    <x v="2"/>
    <n v="6"/>
    <n v="11"/>
    <s v="King Zephyr"/>
    <m/>
    <m/>
    <x v="1"/>
    <x v="1"/>
    <n v="100"/>
    <s v=""/>
    <n v="-100"/>
    <x v="0"/>
    <s v=""/>
    <n v="-100"/>
    <x v="0"/>
    <n v="100"/>
    <s v=""/>
    <n v="-100"/>
    <x v="0"/>
    <s v="Sat"/>
    <s v="King Zephyr"/>
  </r>
  <r>
    <x v="19"/>
    <d v="1899-12-30T15:10:00"/>
    <x v="15"/>
    <n v="8"/>
    <n v="10"/>
    <s v="The Novelist"/>
    <s v="2nd"/>
    <m/>
    <x v="0"/>
    <x v="0"/>
    <n v="100"/>
    <s v=""/>
    <n v="-100"/>
    <x v="0"/>
    <s v=""/>
    <n v="-100"/>
    <x v="0"/>
    <n v="100"/>
    <s v=""/>
    <n v="-100"/>
    <x v="0"/>
    <s v="Sat"/>
    <s v="The Novelist"/>
  </r>
  <r>
    <x v="19"/>
    <d v="1899-12-30T16:10:00"/>
    <x v="2"/>
    <n v="8"/>
    <n v="11"/>
    <s v="Hellsing"/>
    <m/>
    <m/>
    <x v="1"/>
    <x v="1"/>
    <n v="100"/>
    <s v=""/>
    <n v="-100"/>
    <x v="0"/>
    <s v=""/>
    <n v="-100"/>
    <x v="0"/>
    <n v="100"/>
    <s v=""/>
    <n v="-100"/>
    <x v="0"/>
    <s v="Sat"/>
    <s v="Hellsing"/>
  </r>
  <r>
    <x v="19"/>
    <d v="1899-12-30T16:30:00"/>
    <x v="15"/>
    <n v="10"/>
    <n v="16"/>
    <s v="Gallant Star"/>
    <m/>
    <m/>
    <x v="0"/>
    <x v="0"/>
    <n v="100"/>
    <s v=""/>
    <n v="-100"/>
    <x v="3"/>
    <s v=""/>
    <n v="-150"/>
    <x v="0"/>
    <n v="150"/>
    <s v=""/>
    <n v="-150"/>
    <x v="0"/>
    <s v="Sat"/>
    <s v="Gallant Star"/>
  </r>
  <r>
    <x v="20"/>
    <d v="1899-12-30T11:43:00"/>
    <x v="7"/>
    <n v="1"/>
    <n v="10"/>
    <s v="Bews"/>
    <m/>
    <m/>
    <x v="1"/>
    <x v="2"/>
    <n v="100"/>
    <s v=""/>
    <n v="-100"/>
    <x v="0"/>
    <s v=""/>
    <n v="-100"/>
    <x v="0"/>
    <n v="100"/>
    <s v=""/>
    <n v="-100"/>
    <x v="0"/>
    <s v="Sat"/>
    <s v="Bews"/>
  </r>
  <r>
    <x v="20"/>
    <d v="1899-12-30T13:00:00"/>
    <x v="8"/>
    <n v="3"/>
    <n v="12"/>
    <s v="Sephia"/>
    <m/>
    <m/>
    <x v="1"/>
    <x v="1"/>
    <n v="100"/>
    <s v=""/>
    <n v="-100"/>
    <x v="0"/>
    <s v=""/>
    <n v="-100"/>
    <x v="0"/>
    <n v="100"/>
    <s v=""/>
    <n v="-100"/>
    <x v="0"/>
    <s v="Sat"/>
    <s v="Sephia"/>
  </r>
  <r>
    <x v="20"/>
    <d v="1899-12-30T13:28:00"/>
    <x v="7"/>
    <n v="4"/>
    <n v="7"/>
    <s v="Appin Girl"/>
    <m/>
    <m/>
    <x v="1"/>
    <x v="2"/>
    <n v="100"/>
    <s v=""/>
    <n v="-100"/>
    <x v="0"/>
    <s v=""/>
    <n v="-100"/>
    <x v="0"/>
    <n v="100"/>
    <s v=""/>
    <n v="-100"/>
    <x v="0"/>
    <s v="Sat"/>
    <s v="Appin Girl"/>
  </r>
  <r>
    <x v="20"/>
    <d v="1899-12-30T14:10:00"/>
    <x v="8"/>
    <n v="5"/>
    <n v="11"/>
    <s v="Changing Colours"/>
    <s v="2nd"/>
    <m/>
    <x v="0"/>
    <x v="1"/>
    <n v="100"/>
    <s v=""/>
    <n v="-100"/>
    <x v="0"/>
    <s v=""/>
    <n v="-100"/>
    <x v="1"/>
    <n v="100"/>
    <s v=""/>
    <n v="-100"/>
    <x v="0"/>
    <s v="Sat"/>
    <s v="Changing Colours"/>
  </r>
  <r>
    <x v="20"/>
    <d v="1899-12-30T14:10:00"/>
    <x v="8"/>
    <n v="5"/>
    <n v="11"/>
    <s v="Changing Colours"/>
    <s v="2nd"/>
    <m/>
    <x v="1"/>
    <x v="1"/>
    <n v="100"/>
    <s v=""/>
    <n v="-100"/>
    <x v="0"/>
    <s v=""/>
    <n v="-100"/>
    <x v="0"/>
    <s v=""/>
    <s v=""/>
    <s v=""/>
    <x v="0"/>
    <s v="Sat"/>
    <s v="Changing Colours"/>
  </r>
  <r>
    <x v="20"/>
    <d v="1899-12-30T15:45:00"/>
    <x v="0"/>
    <n v="9"/>
    <n v="4"/>
    <s v="Thunderlips"/>
    <s v="2nd"/>
    <m/>
    <x v="0"/>
    <x v="0"/>
    <n v="100"/>
    <s v=""/>
    <n v="-100"/>
    <x v="0"/>
    <s v=""/>
    <n v="-100"/>
    <x v="0"/>
    <n v="100"/>
    <s v=""/>
    <n v="-100"/>
    <x v="0"/>
    <s v="Sat"/>
    <s v="Thunderlips"/>
  </r>
  <r>
    <x v="20"/>
    <d v="1899-12-30T15:57:00"/>
    <x v="7"/>
    <n v="8"/>
    <n v="8"/>
    <s v="Eliyass"/>
    <m/>
    <m/>
    <x v="1"/>
    <x v="2"/>
    <n v="100"/>
    <s v=""/>
    <n v="-100"/>
    <x v="0"/>
    <s v=""/>
    <n v="-100"/>
    <x v="0"/>
    <n v="100"/>
    <s v=""/>
    <n v="-100"/>
    <x v="0"/>
    <s v="Sat"/>
    <s v="Eliyass"/>
  </r>
  <r>
    <x v="20"/>
    <d v="1899-12-30T16:05:00"/>
    <x v="8"/>
    <n v="8"/>
    <n v="10"/>
    <s v="Accredited"/>
    <m/>
    <m/>
    <x v="0"/>
    <x v="1"/>
    <n v="100"/>
    <s v=""/>
    <n v="-100"/>
    <x v="3"/>
    <s v=""/>
    <n v="-150"/>
    <x v="0"/>
    <n v="150"/>
    <s v=""/>
    <n v="-150"/>
    <x v="0"/>
    <s v="Sat"/>
    <s v="Accredited"/>
  </r>
  <r>
    <x v="20"/>
    <d v="1899-12-30T16:25:00"/>
    <x v="0"/>
    <n v="10"/>
    <n v="10"/>
    <s v="She'S Unusual"/>
    <s v="3rd"/>
    <m/>
    <x v="0"/>
    <x v="0"/>
    <n v="100"/>
    <s v=""/>
    <n v="-100"/>
    <x v="0"/>
    <s v=""/>
    <n v="-100"/>
    <x v="0"/>
    <n v="100"/>
    <s v=""/>
    <n v="-100"/>
    <x v="0"/>
    <s v="Sat"/>
    <s v="She'S Unusual"/>
  </r>
  <r>
    <x v="20"/>
    <d v="1899-12-30T16:35:00"/>
    <x v="8"/>
    <n v="9"/>
    <n v="7"/>
    <s v="Oh Too Good"/>
    <m/>
    <m/>
    <x v="1"/>
    <x v="1"/>
    <n v="100"/>
    <s v=""/>
    <n v="-100"/>
    <x v="0"/>
    <s v=""/>
    <n v="-100"/>
    <x v="0"/>
    <n v="100"/>
    <s v=""/>
    <n v="-100"/>
    <x v="0"/>
    <s v="Sat"/>
    <s v="Oh Too Good"/>
  </r>
  <r>
    <x v="20"/>
    <d v="1899-12-30T16:35:00"/>
    <x v="8"/>
    <n v="9"/>
    <n v="8"/>
    <s v="Step Aside"/>
    <s v="3rd"/>
    <m/>
    <x v="0"/>
    <x v="1"/>
    <n v="100"/>
    <s v=""/>
    <n v="-100"/>
    <x v="0"/>
    <s v=""/>
    <n v="-100"/>
    <x v="0"/>
    <n v="100"/>
    <s v=""/>
    <n v="-100"/>
    <x v="0"/>
    <s v="Sat"/>
    <s v="Step Aside"/>
  </r>
  <r>
    <x v="21"/>
    <d v="1899-12-30T11:43:00"/>
    <x v="4"/>
    <n v="1"/>
    <n v="7"/>
    <s v="Demon Darb"/>
    <s v="1st"/>
    <n v="2.7"/>
    <x v="1"/>
    <x v="2"/>
    <n v="100"/>
    <n v="270"/>
    <n v="170"/>
    <x v="0"/>
    <n v="270"/>
    <n v="170"/>
    <x v="0"/>
    <n v="100"/>
    <n v="270"/>
    <n v="170"/>
    <x v="0"/>
    <s v="Sat"/>
    <s v="Demon Darb"/>
  </r>
  <r>
    <x v="21"/>
    <d v="1899-12-30T12:10:00"/>
    <x v="5"/>
    <n v="3"/>
    <n v="8"/>
    <s v="Harry'S Bar"/>
    <s v="3rd"/>
    <m/>
    <x v="0"/>
    <x v="0"/>
    <n v="100"/>
    <s v=""/>
    <n v="-100"/>
    <x v="3"/>
    <s v=""/>
    <n v="-150"/>
    <x v="0"/>
    <n v="150"/>
    <s v=""/>
    <n v="-150"/>
    <x v="0"/>
    <s v="Sat"/>
    <s v="Harry'S Bar"/>
  </r>
  <r>
    <x v="21"/>
    <d v="1899-12-30T13:00:00"/>
    <x v="9"/>
    <n v="3"/>
    <n v="1"/>
    <s v="Big Swinger"/>
    <s v="1st"/>
    <n v="1.9"/>
    <x v="1"/>
    <x v="1"/>
    <n v="100"/>
    <n v="190"/>
    <n v="90"/>
    <x v="0"/>
    <n v="190"/>
    <n v="90"/>
    <x v="0"/>
    <n v="100"/>
    <n v="190"/>
    <n v="90"/>
    <x v="0"/>
    <s v="Sat"/>
    <s v="Big Swinger"/>
  </r>
  <r>
    <x v="21"/>
    <d v="1899-12-30T13:28:00"/>
    <x v="4"/>
    <n v="4"/>
    <n v="1"/>
    <s v="Tavi Time"/>
    <s v="2nd"/>
    <m/>
    <x v="1"/>
    <x v="2"/>
    <n v="100"/>
    <s v=""/>
    <n v="-100"/>
    <x v="0"/>
    <s v=""/>
    <n v="-100"/>
    <x v="0"/>
    <n v="100"/>
    <s v=""/>
    <n v="-100"/>
    <x v="0"/>
    <s v="Sat"/>
    <s v="Tavi Time"/>
  </r>
  <r>
    <x v="21"/>
    <d v="1899-12-30T13:55:00"/>
    <x v="5"/>
    <n v="6"/>
    <n v="4"/>
    <s v="Enter The Dragon"/>
    <m/>
    <m/>
    <x v="0"/>
    <x v="0"/>
    <n v="100"/>
    <s v=""/>
    <n v="-100"/>
    <x v="0"/>
    <s v=""/>
    <n v="-100"/>
    <x v="0"/>
    <n v="100"/>
    <s v=""/>
    <n v="-100"/>
    <x v="0"/>
    <s v="Sat"/>
    <s v="Enter The Dragon"/>
  </r>
  <r>
    <x v="21"/>
    <d v="1899-12-30T14:10:00"/>
    <x v="9"/>
    <n v="5"/>
    <n v="2"/>
    <s v="Madiyya"/>
    <s v="1st"/>
    <n v="1.85"/>
    <x v="0"/>
    <x v="1"/>
    <n v="100"/>
    <n v="185"/>
    <n v="85"/>
    <x v="4"/>
    <n v="92.5"/>
    <n v="42.5"/>
    <x v="0"/>
    <n v="50"/>
    <n v="92.5"/>
    <n v="42.5"/>
    <x v="0"/>
    <s v="Sat"/>
    <s v="Madiyya"/>
  </r>
  <r>
    <x v="21"/>
    <d v="1899-12-30T14:30:00"/>
    <x v="5"/>
    <n v="7"/>
    <n v="10"/>
    <s v="Kerguelen"/>
    <s v="1st"/>
    <n v="2.6"/>
    <x v="0"/>
    <x v="0"/>
    <n v="100"/>
    <n v="260"/>
    <n v="160"/>
    <x v="6"/>
    <n v="364"/>
    <n v="224"/>
    <x v="0"/>
    <n v="140"/>
    <n v="364"/>
    <n v="224"/>
    <x v="0"/>
    <s v="Sat"/>
    <s v="Kerguelen"/>
  </r>
  <r>
    <x v="21"/>
    <d v="1899-12-30T14:45:00"/>
    <x v="9"/>
    <n v="6"/>
    <n v="3"/>
    <s v="Jimmy The Bear"/>
    <s v="1st"/>
    <n v="3.4"/>
    <x v="0"/>
    <x v="1"/>
    <n v="100"/>
    <n v="340"/>
    <n v="240"/>
    <x v="0"/>
    <n v="340"/>
    <n v="240"/>
    <x v="0"/>
    <n v="100"/>
    <n v="340"/>
    <n v="240"/>
    <x v="0"/>
    <s v="Sat"/>
    <s v="Jimmy The Bear"/>
  </r>
  <r>
    <x v="21"/>
    <d v="1899-12-30T14:45:00"/>
    <x v="9"/>
    <n v="6"/>
    <n v="1"/>
    <s v="Oscar'S Fortune"/>
    <m/>
    <m/>
    <x v="0"/>
    <x v="1"/>
    <n v="100"/>
    <s v=""/>
    <n v="-100"/>
    <x v="3"/>
    <s v=""/>
    <n v="-150"/>
    <x v="0"/>
    <n v="150"/>
    <s v=""/>
    <n v="-150"/>
    <x v="0"/>
    <s v="Sat"/>
    <s v="Oscar'S Fortune"/>
  </r>
  <r>
    <x v="21"/>
    <d v="1899-12-30T16:00:00"/>
    <x v="9"/>
    <n v="8"/>
    <n v="7"/>
    <s v="Niance"/>
    <s v="1st"/>
    <n v="2.4500000000000002"/>
    <x v="0"/>
    <x v="1"/>
    <n v="100"/>
    <n v="245.00000000000003"/>
    <n v="145.00000000000003"/>
    <x v="1"/>
    <n v="490.00000000000006"/>
    <n v="290.00000000000006"/>
    <x v="0"/>
    <n v="200"/>
    <n v="490.00000000000006"/>
    <n v="290.00000000000006"/>
    <x v="0"/>
    <s v="Sat"/>
    <s v="Niance"/>
  </r>
  <r>
    <x v="22"/>
    <d v="1899-12-30T11:35:00"/>
    <x v="0"/>
    <n v="2"/>
    <n v="1"/>
    <s v="Jumeirah Beach"/>
    <m/>
    <m/>
    <x v="0"/>
    <x v="0"/>
    <n v="100"/>
    <s v=""/>
    <n v="-100"/>
    <x v="0"/>
    <s v=""/>
    <n v="-100"/>
    <x v="0"/>
    <n v="100"/>
    <s v=""/>
    <n v="-100"/>
    <x v="0"/>
    <s v="Sat"/>
    <s v="Jumeirah Beach"/>
  </r>
  <r>
    <x v="22"/>
    <d v="1899-12-30T12:10:00"/>
    <x v="0"/>
    <n v="3"/>
    <n v="4"/>
    <s v="Miss Kim Kar"/>
    <m/>
    <m/>
    <x v="0"/>
    <x v="0"/>
    <n v="100"/>
    <s v=""/>
    <n v="-100"/>
    <x v="1"/>
    <s v=""/>
    <n v="-200"/>
    <x v="0"/>
    <n v="200"/>
    <s v=""/>
    <n v="-200"/>
    <x v="0"/>
    <s v="Sat"/>
    <s v="Miss Kim Kar"/>
  </r>
  <r>
    <x v="22"/>
    <d v="1899-12-30T13:35:00"/>
    <x v="2"/>
    <n v="4"/>
    <n v="4"/>
    <s v="Soft Love"/>
    <s v="2nd"/>
    <m/>
    <x v="1"/>
    <x v="1"/>
    <n v="100"/>
    <s v=""/>
    <n v="-100"/>
    <x v="0"/>
    <s v=""/>
    <n v="-100"/>
    <x v="0"/>
    <n v="100"/>
    <s v=""/>
    <n v="-100"/>
    <x v="0"/>
    <s v="Sat"/>
    <s v="Soft Love"/>
  </r>
  <r>
    <x v="22"/>
    <d v="1899-12-30T13:55:00"/>
    <x v="0"/>
    <n v="6"/>
    <n v="6"/>
    <s v="Oh Diamond Lil"/>
    <m/>
    <m/>
    <x v="0"/>
    <x v="0"/>
    <n v="100"/>
    <s v=""/>
    <n v="-100"/>
    <x v="3"/>
    <s v=""/>
    <n v="-150"/>
    <x v="0"/>
    <n v="150"/>
    <s v=""/>
    <n v="-150"/>
    <x v="0"/>
    <s v="Sat"/>
    <s v="Oh Diamond Lil"/>
  </r>
  <r>
    <x v="22"/>
    <d v="1899-12-30T14:10:00"/>
    <x v="2"/>
    <n v="5"/>
    <n v="3"/>
    <s v="Jimmy The Bear"/>
    <s v="2nd"/>
    <m/>
    <x v="1"/>
    <x v="1"/>
    <n v="100"/>
    <s v=""/>
    <n v="-100"/>
    <x v="0"/>
    <s v=""/>
    <n v="-100"/>
    <x v="0"/>
    <n v="100"/>
    <s v=""/>
    <n v="-100"/>
    <x v="0"/>
    <s v="Sat"/>
    <s v="Jimmy The Bear"/>
  </r>
  <r>
    <x v="22"/>
    <d v="1899-12-30T14:38:00"/>
    <x v="4"/>
    <n v="7"/>
    <n v="10"/>
    <s v="Joliestar"/>
    <s v="1st"/>
    <n v="2.5"/>
    <x v="1"/>
    <x v="2"/>
    <n v="100"/>
    <n v="250"/>
    <n v="150"/>
    <x v="0"/>
    <n v="250"/>
    <n v="150"/>
    <x v="0"/>
    <n v="100"/>
    <n v="250"/>
    <n v="150"/>
    <x v="0"/>
    <s v="Sat"/>
    <s v="Joliestar"/>
  </r>
  <r>
    <x v="22"/>
    <d v="1899-12-30T15:05:00"/>
    <x v="0"/>
    <n v="8"/>
    <n v="4"/>
    <s v="In Flight"/>
    <s v="1st"/>
    <n v="2.6"/>
    <x v="0"/>
    <x v="0"/>
    <n v="100"/>
    <n v="260"/>
    <n v="160"/>
    <x v="1"/>
    <n v="520"/>
    <n v="320"/>
    <x v="0"/>
    <n v="200"/>
    <n v="520"/>
    <n v="320"/>
    <x v="0"/>
    <s v="Sat"/>
    <s v="In Flight"/>
  </r>
  <r>
    <x v="22"/>
    <d v="1899-12-30T15:20:00"/>
    <x v="2"/>
    <n v="7"/>
    <n v="13"/>
    <s v="Liberami"/>
    <s v="2nd"/>
    <m/>
    <x v="0"/>
    <x v="1"/>
    <n v="100"/>
    <s v=""/>
    <n v="-100"/>
    <x v="3"/>
    <s v=""/>
    <n v="-150"/>
    <x v="0"/>
    <n v="150"/>
    <s v=""/>
    <n v="-150"/>
    <x v="0"/>
    <s v="Sat"/>
    <s v="Liberami"/>
  </r>
  <r>
    <x v="22"/>
    <d v="1899-12-30T15:40:00"/>
    <x v="0"/>
    <n v="9"/>
    <n v="2"/>
    <s v="Whinchat"/>
    <m/>
    <m/>
    <x v="0"/>
    <x v="0"/>
    <n v="100"/>
    <s v=""/>
    <n v="-100"/>
    <x v="0"/>
    <s v=""/>
    <n v="-100"/>
    <x v="0"/>
    <n v="100"/>
    <s v=""/>
    <n v="-100"/>
    <x v="0"/>
    <s v="Sat"/>
    <s v="Whinchat"/>
  </r>
  <r>
    <x v="22"/>
    <d v="1899-12-30T16:20:00"/>
    <x v="0"/>
    <n v="10"/>
    <n v="4"/>
    <s v="Storm The Ramparts"/>
    <s v="1st"/>
    <n v="3.7"/>
    <x v="0"/>
    <x v="0"/>
    <n v="100"/>
    <n v="370"/>
    <n v="270"/>
    <x v="3"/>
    <n v="555"/>
    <n v="405"/>
    <x v="0"/>
    <n v="150"/>
    <n v="555"/>
    <n v="405"/>
    <x v="0"/>
    <s v="Sat"/>
    <s v="Storm The Ramparts"/>
  </r>
  <r>
    <x v="23"/>
    <d v="1899-12-30T12:18:00"/>
    <x v="4"/>
    <n v="2"/>
    <n v="11"/>
    <s v="Demon Darb"/>
    <m/>
    <m/>
    <x v="1"/>
    <x v="2"/>
    <n v="100"/>
    <s v=""/>
    <n v="-100"/>
    <x v="0"/>
    <s v=""/>
    <n v="-100"/>
    <x v="0"/>
    <n v="100"/>
    <s v=""/>
    <n v="-100"/>
    <x v="0"/>
    <s v="Sat"/>
    <s v="Demon Darb"/>
  </r>
  <r>
    <x v="23"/>
    <d v="1899-12-30T12:53:00"/>
    <x v="4"/>
    <n v="3"/>
    <n v="4"/>
    <s v="Campaldino"/>
    <s v="1st"/>
    <n v="3.1"/>
    <x v="1"/>
    <x v="2"/>
    <n v="100"/>
    <n v="310"/>
    <n v="210"/>
    <x v="0"/>
    <n v="310"/>
    <n v="210"/>
    <x v="0"/>
    <n v="100"/>
    <n v="310"/>
    <n v="210"/>
    <x v="0"/>
    <s v="Sat"/>
    <s v="Campaldino"/>
  </r>
  <r>
    <x v="23"/>
    <d v="1899-12-30T13:00:00"/>
    <x v="8"/>
    <n v="3"/>
    <n v="8"/>
    <s v="Ahha Ahha"/>
    <m/>
    <m/>
    <x v="1"/>
    <x v="1"/>
    <n v="100"/>
    <s v=""/>
    <n v="-100"/>
    <x v="0"/>
    <s v=""/>
    <n v="-100"/>
    <x v="0"/>
    <n v="100"/>
    <s v=""/>
    <n v="-100"/>
    <x v="0"/>
    <s v="Sat"/>
    <s v="Ahha Ahha"/>
  </r>
  <r>
    <x v="23"/>
    <d v="1899-12-30T13:55:00"/>
    <x v="5"/>
    <n v="6"/>
    <n v="5"/>
    <s v="Mickey'S Medal"/>
    <s v="1st"/>
    <n v="3.4"/>
    <x v="0"/>
    <x v="0"/>
    <n v="100"/>
    <n v="340"/>
    <n v="240"/>
    <x v="3"/>
    <n v="510"/>
    <n v="360"/>
    <x v="0"/>
    <n v="150"/>
    <n v="510"/>
    <n v="360"/>
    <x v="0"/>
    <s v="Sat"/>
    <s v="Mickey'S Medal"/>
  </r>
  <r>
    <x v="23"/>
    <d v="1899-12-30T14:03:00"/>
    <x v="4"/>
    <n v="5"/>
    <n v="7"/>
    <s v="Need Some Luck"/>
    <s v="2nd"/>
    <m/>
    <x v="1"/>
    <x v="2"/>
    <n v="100"/>
    <s v=""/>
    <n v="-100"/>
    <x v="0"/>
    <s v=""/>
    <n v="-100"/>
    <x v="0"/>
    <n v="100"/>
    <s v=""/>
    <n v="-100"/>
    <x v="0"/>
    <s v="Sat"/>
    <s v="Need Some Luck"/>
  </r>
  <r>
    <x v="23"/>
    <d v="1899-12-30T14:10:00"/>
    <x v="8"/>
    <n v="5"/>
    <n v="4"/>
    <s v="Make It Sweet"/>
    <m/>
    <m/>
    <x v="1"/>
    <x v="1"/>
    <n v="100"/>
    <s v=""/>
    <n v="-100"/>
    <x v="0"/>
    <s v=""/>
    <n v="-100"/>
    <x v="0"/>
    <n v="100"/>
    <s v=""/>
    <n v="-100"/>
    <x v="0"/>
    <s v="Sat"/>
    <s v="Make It Sweet"/>
  </r>
  <r>
    <x v="23"/>
    <d v="1899-12-30T14:30:00"/>
    <x v="5"/>
    <n v="7"/>
    <n v="11"/>
    <s v="Snack Bar"/>
    <s v="2nd"/>
    <m/>
    <x v="0"/>
    <x v="0"/>
    <n v="100"/>
    <s v=""/>
    <n v="-100"/>
    <x v="3"/>
    <s v=""/>
    <n v="-150"/>
    <x v="0"/>
    <n v="150"/>
    <s v=""/>
    <n v="-150"/>
    <x v="0"/>
    <s v="Sat"/>
    <s v="Snack Bar"/>
  </r>
  <r>
    <x v="23"/>
    <d v="1899-12-30T14:45:00"/>
    <x v="8"/>
    <n v="6"/>
    <n v="5"/>
    <s v="Roadcone"/>
    <m/>
    <m/>
    <x v="1"/>
    <x v="1"/>
    <n v="100"/>
    <s v=""/>
    <n v="-100"/>
    <x v="0"/>
    <s v=""/>
    <n v="-100"/>
    <x v="0"/>
    <n v="100"/>
    <s v=""/>
    <n v="-100"/>
    <x v="0"/>
    <s v="Sat"/>
    <s v="Roadcone"/>
  </r>
  <r>
    <x v="23"/>
    <d v="1899-12-30T15:25:00"/>
    <x v="8"/>
    <n v="7"/>
    <n v="10"/>
    <s v="Sayedaty Sadaty"/>
    <s v="3rd"/>
    <m/>
    <x v="0"/>
    <x v="1"/>
    <n v="100"/>
    <s v=""/>
    <n v="-100"/>
    <x v="0"/>
    <s v=""/>
    <n v="-100"/>
    <x v="0"/>
    <n v="100"/>
    <s v=""/>
    <n v="-100"/>
    <x v="0"/>
    <s v="Sat"/>
    <s v="Sayedaty Sadaty"/>
  </r>
  <r>
    <x v="23"/>
    <d v="1899-12-30T16:30:00"/>
    <x v="4"/>
    <n v="9"/>
    <n v="1"/>
    <s v="Fawkner Park"/>
    <s v="3rd"/>
    <m/>
    <x v="1"/>
    <x v="2"/>
    <n v="100"/>
    <s v=""/>
    <n v="-100"/>
    <x v="0"/>
    <s v=""/>
    <n v="-100"/>
    <x v="0"/>
    <n v="100"/>
    <s v=""/>
    <n v="-100"/>
    <x v="0"/>
    <s v="Sat"/>
    <s v="Fawkner Park"/>
  </r>
  <r>
    <x v="23"/>
    <d v="1899-12-30T16:35:00"/>
    <x v="8"/>
    <n v="9"/>
    <n v="15"/>
    <s v="The Open"/>
    <m/>
    <m/>
    <x v="0"/>
    <x v="1"/>
    <n v="100"/>
    <s v=""/>
    <n v="-100"/>
    <x v="0"/>
    <s v=""/>
    <n v="-100"/>
    <x v="1"/>
    <n v="100"/>
    <s v=""/>
    <n v="-100"/>
    <x v="0"/>
    <s v="Sat"/>
    <s v="The Open"/>
  </r>
  <r>
    <x v="23"/>
    <d v="1899-12-30T16:35:00"/>
    <x v="8"/>
    <n v="9"/>
    <n v="15"/>
    <s v="The Open"/>
    <m/>
    <m/>
    <x v="1"/>
    <x v="1"/>
    <n v="100"/>
    <s v=""/>
    <n v="-100"/>
    <x v="0"/>
    <s v=""/>
    <n v="-100"/>
    <x v="0"/>
    <s v=""/>
    <s v=""/>
    <s v=""/>
    <x v="0"/>
    <s v="Sat"/>
    <s v="The Open"/>
  </r>
  <r>
    <x v="24"/>
    <d v="1899-12-30T12:10:00"/>
    <x v="0"/>
    <n v="3"/>
    <n v="13"/>
    <s v="Magical Moments"/>
    <m/>
    <m/>
    <x v="1"/>
    <x v="0"/>
    <n v="100"/>
    <s v=""/>
    <n v="-100"/>
    <x v="3"/>
    <s v=""/>
    <n v="-150"/>
    <x v="0"/>
    <n v="150"/>
    <s v=""/>
    <n v="-150"/>
    <x v="0"/>
    <s v="Sat"/>
    <s v="Magical Moments"/>
  </r>
  <r>
    <x v="24"/>
    <d v="1899-12-30T12:18:00"/>
    <x v="16"/>
    <n v="2"/>
    <n v="9"/>
    <s v="Boys Night Out"/>
    <s v="1st"/>
    <n v="3"/>
    <x v="1"/>
    <x v="2"/>
    <n v="100"/>
    <n v="300"/>
    <n v="200"/>
    <x v="0"/>
    <n v="300"/>
    <n v="200"/>
    <x v="0"/>
    <n v="100"/>
    <n v="300"/>
    <n v="200"/>
    <x v="0"/>
    <s v="Sat"/>
    <s v="Boys Night Out"/>
  </r>
  <r>
    <x v="24"/>
    <d v="1899-12-30T13:00:00"/>
    <x v="2"/>
    <n v="3"/>
    <n v="5"/>
    <s v="Cleo Cat"/>
    <s v="2nd"/>
    <m/>
    <x v="0"/>
    <x v="1"/>
    <n v="100"/>
    <s v=""/>
    <n v="-100"/>
    <x v="3"/>
    <s v=""/>
    <n v="-150"/>
    <x v="1"/>
    <n v="125"/>
    <s v=""/>
    <n v="-125"/>
    <x v="0"/>
    <s v="Sat"/>
    <s v="Cleo Cat"/>
  </r>
  <r>
    <x v="24"/>
    <d v="1899-12-30T13:00:00"/>
    <x v="2"/>
    <n v="3"/>
    <n v="5"/>
    <s v="Cleo Cat"/>
    <s v="2nd"/>
    <m/>
    <x v="1"/>
    <x v="1"/>
    <n v="100"/>
    <s v=""/>
    <n v="-100"/>
    <x v="0"/>
    <s v=""/>
    <n v="-100"/>
    <x v="0"/>
    <s v=""/>
    <s v=""/>
    <s v=""/>
    <x v="0"/>
    <s v="Sat"/>
    <s v="Cleo Cat"/>
  </r>
  <r>
    <x v="24"/>
    <d v="1899-12-30T13:00:00"/>
    <x v="2"/>
    <n v="3"/>
    <n v="4"/>
    <s v="Marble Nine"/>
    <s v="1st"/>
    <n v="8"/>
    <x v="0"/>
    <x v="1"/>
    <n v="100"/>
    <n v="800"/>
    <n v="700"/>
    <x v="0"/>
    <n v="800"/>
    <n v="700"/>
    <x v="0"/>
    <n v="100"/>
    <n v="800"/>
    <n v="700"/>
    <x v="0"/>
    <s v="Sat"/>
    <s v="Marble Nine"/>
  </r>
  <r>
    <x v="24"/>
    <d v="1899-12-30T13:28:00"/>
    <x v="16"/>
    <n v="4"/>
    <n v="5"/>
    <s v="Taltarni Fields"/>
    <m/>
    <m/>
    <x v="1"/>
    <x v="2"/>
    <n v="100"/>
    <s v=""/>
    <n v="-100"/>
    <x v="0"/>
    <s v=""/>
    <n v="-100"/>
    <x v="0"/>
    <n v="100"/>
    <s v=""/>
    <n v="-100"/>
    <x v="0"/>
    <s v="Sat"/>
    <s v="Taltarni Fields"/>
  </r>
  <r>
    <x v="24"/>
    <d v="1899-12-30T14:03:00"/>
    <x v="16"/>
    <n v="5"/>
    <n v="12"/>
    <s v="Just Flying"/>
    <m/>
    <m/>
    <x v="1"/>
    <x v="2"/>
    <n v="100"/>
    <s v=""/>
    <n v="-100"/>
    <x v="0"/>
    <s v=""/>
    <n v="-100"/>
    <x v="0"/>
    <n v="100"/>
    <s v=""/>
    <n v="-100"/>
    <x v="0"/>
    <s v="Sat"/>
    <s v="Just Flying"/>
  </r>
  <r>
    <x v="24"/>
    <d v="1899-12-30T14:10:00"/>
    <x v="2"/>
    <n v="5"/>
    <n v="10"/>
    <s v="Red Galaxy"/>
    <m/>
    <m/>
    <x v="1"/>
    <x v="1"/>
    <n v="100"/>
    <s v=""/>
    <n v="-100"/>
    <x v="0"/>
    <s v=""/>
    <n v="-100"/>
    <x v="0"/>
    <n v="100"/>
    <s v=""/>
    <n v="-100"/>
    <x v="0"/>
    <s v="Sat"/>
    <s v="Red Galaxy"/>
  </r>
  <r>
    <x v="24"/>
    <d v="1899-12-30T14:45:00"/>
    <x v="2"/>
    <n v="6"/>
    <n v="5"/>
    <s v="Bold Soul"/>
    <s v="1st"/>
    <n v="5"/>
    <x v="0"/>
    <x v="1"/>
    <n v="100"/>
    <n v="500"/>
    <n v="400"/>
    <x v="2"/>
    <n v="600"/>
    <n v="480"/>
    <x v="0"/>
    <n v="120"/>
    <n v="600"/>
    <n v="480"/>
    <x v="0"/>
    <s v="Sat"/>
    <s v="Bold Soul"/>
  </r>
  <r>
    <x v="24"/>
    <d v="1899-12-30T15:05:00"/>
    <x v="0"/>
    <n v="8"/>
    <n v="6"/>
    <s v="Oh Diamond Lil"/>
    <s v="2nd"/>
    <m/>
    <x v="0"/>
    <x v="0"/>
    <n v="100"/>
    <s v=""/>
    <n v="-100"/>
    <x v="3"/>
    <s v=""/>
    <n v="-150"/>
    <x v="0"/>
    <n v="150"/>
    <s v=""/>
    <n v="-150"/>
    <x v="0"/>
    <s v="Sat"/>
    <s v="Oh Diamond Lil"/>
  </r>
  <r>
    <x v="24"/>
    <d v="1899-12-30T15:25:00"/>
    <x v="2"/>
    <n v="7"/>
    <n v="6"/>
    <s v="Splash Back"/>
    <s v="1st"/>
    <n v="1.9"/>
    <x v="0"/>
    <x v="1"/>
    <n v="100"/>
    <n v="190"/>
    <n v="90"/>
    <x v="0"/>
    <n v="190"/>
    <n v="90"/>
    <x v="1"/>
    <n v="100"/>
    <n v="190"/>
    <n v="90"/>
    <x v="0"/>
    <s v="Sat"/>
    <s v="Splash Back"/>
  </r>
  <r>
    <x v="24"/>
    <d v="1899-12-30T15:25:00"/>
    <x v="2"/>
    <n v="7"/>
    <n v="6"/>
    <s v="Splash Back"/>
    <s v="1st"/>
    <n v="1.9"/>
    <x v="1"/>
    <x v="1"/>
    <n v="100"/>
    <n v="190"/>
    <n v="90"/>
    <x v="0"/>
    <n v="190"/>
    <n v="90"/>
    <x v="0"/>
    <s v=""/>
    <s v=""/>
    <s v=""/>
    <x v="0"/>
    <s v="Sat"/>
    <s v="Splash Back"/>
  </r>
  <r>
    <x v="24"/>
    <d v="1899-12-30T15:45:00"/>
    <x v="0"/>
    <n v="9"/>
    <n v="13"/>
    <s v="Headley Grange"/>
    <s v="1st"/>
    <n v="2.8"/>
    <x v="0"/>
    <x v="0"/>
    <n v="100"/>
    <n v="280"/>
    <n v="180"/>
    <x v="1"/>
    <n v="560"/>
    <n v="360"/>
    <x v="1"/>
    <n v="175"/>
    <n v="489.99999999999994"/>
    <n v="314.99999999999994"/>
    <x v="0"/>
    <s v="Sat"/>
    <s v="Headley Grange"/>
  </r>
  <r>
    <x v="24"/>
    <d v="1899-12-30T15:45:00"/>
    <x v="0"/>
    <n v="9"/>
    <n v="13"/>
    <s v="Headley Grange"/>
    <s v="1st"/>
    <n v="2.8"/>
    <x v="1"/>
    <x v="0"/>
    <n v="100"/>
    <n v="280"/>
    <n v="180"/>
    <x v="3"/>
    <n v="420"/>
    <n v="270"/>
    <x v="0"/>
    <s v=""/>
    <s v=""/>
    <s v=""/>
    <x v="0"/>
    <s v="Sat"/>
    <s v="Headley Grange"/>
  </r>
  <r>
    <x v="24"/>
    <d v="1899-12-30T16:00:00"/>
    <x v="2"/>
    <n v="8"/>
    <n v="5"/>
    <s v="Holymanz"/>
    <s v="3rd"/>
    <m/>
    <x v="0"/>
    <x v="1"/>
    <n v="100"/>
    <s v=""/>
    <n v="-100"/>
    <x v="0"/>
    <s v=""/>
    <n v="-100"/>
    <x v="0"/>
    <n v="100"/>
    <s v=""/>
    <n v="-100"/>
    <x v="0"/>
    <s v="Sat"/>
    <s v="Holymanz"/>
  </r>
  <r>
    <x v="24"/>
    <d v="1899-12-30T16:00:00"/>
    <x v="2"/>
    <n v="8"/>
    <n v="3"/>
    <s v="Jimmy The Bear"/>
    <s v="1st"/>
    <n v="2.9"/>
    <x v="0"/>
    <x v="1"/>
    <n v="100"/>
    <n v="290"/>
    <n v="190"/>
    <x v="5"/>
    <n v="464"/>
    <n v="304"/>
    <x v="1"/>
    <n v="130"/>
    <n v="377"/>
    <n v="247"/>
    <x v="0"/>
    <s v="Sat"/>
    <s v="Jimmy The Bear"/>
  </r>
  <r>
    <x v="24"/>
    <d v="1899-12-30T16:00:00"/>
    <x v="2"/>
    <n v="8"/>
    <n v="3"/>
    <s v="Jimmy The Bear"/>
    <s v="1st"/>
    <n v="2.9"/>
    <x v="1"/>
    <x v="1"/>
    <n v="100"/>
    <n v="290"/>
    <n v="190"/>
    <x v="0"/>
    <n v="290"/>
    <n v="190"/>
    <x v="0"/>
    <s v=""/>
    <s v=""/>
    <s v=""/>
    <x v="0"/>
    <s v="Sat"/>
    <s v="Jimmy The Bear"/>
  </r>
  <r>
    <x v="24"/>
    <d v="1899-12-30T16:30:00"/>
    <x v="16"/>
    <n v="9"/>
    <n v="16"/>
    <s v="Gerringong"/>
    <s v="3rd"/>
    <m/>
    <x v="1"/>
    <x v="2"/>
    <n v="100"/>
    <s v=""/>
    <n v="-100"/>
    <x v="0"/>
    <s v=""/>
    <n v="-100"/>
    <x v="0"/>
    <n v="100"/>
    <s v=""/>
    <n v="-100"/>
    <x v="0"/>
    <s v="Sat"/>
    <s v="Gerringong"/>
  </r>
  <r>
    <x v="25"/>
    <d v="1899-12-30T12:18:00"/>
    <x v="4"/>
    <n v="2"/>
    <n v="10"/>
    <s v="Termagant"/>
    <m/>
    <m/>
    <x v="1"/>
    <x v="2"/>
    <n v="100"/>
    <s v=""/>
    <n v="-100"/>
    <x v="0"/>
    <s v=""/>
    <n v="-100"/>
    <x v="0"/>
    <n v="100"/>
    <s v=""/>
    <n v="-100"/>
    <x v="0"/>
    <s v="Sat"/>
    <s v="Termagant"/>
  </r>
  <r>
    <x v="25"/>
    <d v="1899-12-30T13:20:00"/>
    <x v="5"/>
    <n v="5"/>
    <n v="3"/>
    <s v="Livin Thing"/>
    <m/>
    <m/>
    <x v="1"/>
    <x v="0"/>
    <n v="100"/>
    <s v=""/>
    <n v="-100"/>
    <x v="3"/>
    <s v=""/>
    <n v="-150"/>
    <x v="0"/>
    <n v="150"/>
    <s v=""/>
    <n v="-150"/>
    <x v="0"/>
    <s v="Sat"/>
    <s v="Livin Thing"/>
  </r>
  <r>
    <x v="25"/>
    <d v="1899-12-30T13:35:00"/>
    <x v="9"/>
    <n v="4"/>
    <n v="1"/>
    <s v="Just For Show"/>
    <m/>
    <m/>
    <x v="1"/>
    <x v="1"/>
    <n v="100"/>
    <s v=""/>
    <n v="-100"/>
    <x v="0"/>
    <s v=""/>
    <n v="-100"/>
    <x v="0"/>
    <n v="100"/>
    <s v=""/>
    <n v="-100"/>
    <x v="0"/>
    <s v="Sat"/>
    <s v="Just For Show"/>
  </r>
  <r>
    <x v="25"/>
    <d v="1899-12-30T14:07:00"/>
    <x v="4"/>
    <n v="5"/>
    <n v="3"/>
    <s v="Bankers Choice"/>
    <s v="2nd"/>
    <m/>
    <x v="1"/>
    <x v="2"/>
    <n v="100"/>
    <s v=""/>
    <n v="-100"/>
    <x v="0"/>
    <s v=""/>
    <n v="-100"/>
    <x v="0"/>
    <n v="100"/>
    <s v=""/>
    <n v="-100"/>
    <x v="0"/>
    <s v="Sat"/>
    <s v="Bankers Choice"/>
  </r>
  <r>
    <x v="25"/>
    <d v="1899-12-30T14:15:00"/>
    <x v="9"/>
    <n v="5"/>
    <n v="14"/>
    <s v="Captain Electric"/>
    <m/>
    <m/>
    <x v="1"/>
    <x v="1"/>
    <n v="100"/>
    <s v=""/>
    <n v="-100"/>
    <x v="0"/>
    <s v=""/>
    <n v="-100"/>
    <x v="0"/>
    <n v="100"/>
    <s v=""/>
    <n v="-100"/>
    <x v="0"/>
    <s v="Sat"/>
    <s v="Captain Electric"/>
  </r>
  <r>
    <x v="25"/>
    <d v="1899-12-30T14:55:00"/>
    <x v="9"/>
    <n v="6"/>
    <n v="3"/>
    <s v="The Black Cloud"/>
    <s v="2nd"/>
    <m/>
    <x v="0"/>
    <x v="1"/>
    <n v="100"/>
    <s v=""/>
    <n v="-100"/>
    <x v="3"/>
    <s v=""/>
    <n v="-150"/>
    <x v="0"/>
    <n v="150"/>
    <s v=""/>
    <n v="-150"/>
    <x v="0"/>
    <s v="Sat"/>
    <s v="The Black Cloud"/>
  </r>
  <r>
    <x v="25"/>
    <d v="1899-12-30T15:23:00"/>
    <x v="4"/>
    <n v="7"/>
    <n v="6"/>
    <s v="The Inflictor"/>
    <s v="1st"/>
    <n v="4.5999999999999996"/>
    <x v="1"/>
    <x v="2"/>
    <n v="100"/>
    <n v="459.99999999999994"/>
    <n v="359.99999999999994"/>
    <x v="0"/>
    <n v="459.99999999999994"/>
    <n v="359.99999999999994"/>
    <x v="0"/>
    <n v="100"/>
    <n v="459.99999999999994"/>
    <n v="359.99999999999994"/>
    <x v="0"/>
    <s v="Sat"/>
    <s v="The Inflictor"/>
  </r>
  <r>
    <x v="25"/>
    <d v="1899-12-30T16:05:00"/>
    <x v="9"/>
    <n v="8"/>
    <n v="4"/>
    <s v="Earlswood"/>
    <s v="2nd"/>
    <m/>
    <x v="0"/>
    <x v="1"/>
    <n v="100"/>
    <s v=""/>
    <n v="-100"/>
    <x v="0"/>
    <s v=""/>
    <n v="-100"/>
    <x v="0"/>
    <n v="100"/>
    <s v=""/>
    <n v="-100"/>
    <x v="0"/>
    <s v="Sat"/>
    <s v="Earlswood"/>
  </r>
  <r>
    <x v="25"/>
    <d v="1899-12-30T16:30:00"/>
    <x v="5"/>
    <n v="10"/>
    <n v="12"/>
    <s v="Snack Bar"/>
    <s v="3rd"/>
    <m/>
    <x v="0"/>
    <x v="0"/>
    <n v="100"/>
    <s v=""/>
    <n v="-100"/>
    <x v="3"/>
    <s v=""/>
    <n v="-150"/>
    <x v="1"/>
    <n v="150"/>
    <s v=""/>
    <n v="-150"/>
    <x v="0"/>
    <s v="Sat"/>
    <s v="Snack Bar"/>
  </r>
  <r>
    <x v="25"/>
    <d v="1899-12-30T16:30:00"/>
    <x v="5"/>
    <n v="10"/>
    <n v="12"/>
    <s v="Snack Bar"/>
    <s v="2nd"/>
    <m/>
    <x v="1"/>
    <x v="0"/>
    <n v="100"/>
    <s v=""/>
    <n v="-100"/>
    <x v="3"/>
    <s v=""/>
    <n v="-150"/>
    <x v="0"/>
    <s v=""/>
    <s v=""/>
    <s v=""/>
    <x v="0"/>
    <s v="Sat"/>
    <s v="Snack Bar"/>
  </r>
  <r>
    <x v="25"/>
    <d v="1899-12-30T16:35:00"/>
    <x v="4"/>
    <n v="9"/>
    <n v="11"/>
    <s v="Austmarr"/>
    <s v="2nd"/>
    <m/>
    <x v="1"/>
    <x v="2"/>
    <n v="100"/>
    <s v=""/>
    <n v="-100"/>
    <x v="0"/>
    <s v=""/>
    <n v="-100"/>
    <x v="0"/>
    <n v="100"/>
    <s v=""/>
    <n v="-100"/>
    <x v="0"/>
    <s v="Sat"/>
    <s v="Austmarr"/>
  </r>
  <r>
    <x v="25"/>
    <d v="1899-12-30T16:40:00"/>
    <x v="9"/>
    <n v="9"/>
    <n v="8"/>
    <s v="Yellow Sam"/>
    <s v="1st"/>
    <n v="5.5"/>
    <x v="1"/>
    <x v="1"/>
    <n v="100"/>
    <n v="550"/>
    <n v="450"/>
    <x v="0"/>
    <n v="550"/>
    <n v="450"/>
    <x v="0"/>
    <n v="100"/>
    <n v="550"/>
    <n v="450"/>
    <x v="0"/>
    <s v="Sat"/>
    <s v="Yellow Sam"/>
  </r>
  <r>
    <x v="26"/>
    <d v="1899-12-30T13:05:00"/>
    <x v="2"/>
    <n v="3"/>
    <n v="2"/>
    <s v="Marble Nine"/>
    <s v="1st"/>
    <n v="2.1"/>
    <x v="0"/>
    <x v="1"/>
    <n v="100"/>
    <n v="210"/>
    <n v="110"/>
    <x v="0"/>
    <n v="210"/>
    <n v="110"/>
    <x v="1"/>
    <n v="150"/>
    <n v="315"/>
    <n v="165"/>
    <x v="0"/>
    <s v="Sat"/>
    <s v="Marble Nine"/>
  </r>
  <r>
    <x v="26"/>
    <d v="1899-12-30T13:05:00"/>
    <x v="2"/>
    <n v="3"/>
    <n v="2"/>
    <s v="Marble Nine"/>
    <s v="1st"/>
    <n v="2.1"/>
    <x v="1"/>
    <x v="1"/>
    <n v="100"/>
    <n v="210"/>
    <n v="110"/>
    <x v="1"/>
    <n v="420"/>
    <n v="220"/>
    <x v="0"/>
    <s v=""/>
    <s v=""/>
    <s v=""/>
    <x v="0"/>
    <s v="Sat"/>
    <s v="Marble Nine"/>
  </r>
  <r>
    <x v="26"/>
    <d v="1899-12-30T14:00:00"/>
    <x v="5"/>
    <n v="6"/>
    <n v="1"/>
    <s v="Hi Dubai"/>
    <s v="1st"/>
    <n v="3.6"/>
    <x v="0"/>
    <x v="0"/>
    <n v="100"/>
    <n v="360"/>
    <n v="260"/>
    <x v="3"/>
    <n v="540"/>
    <n v="390"/>
    <x v="0"/>
    <n v="150"/>
    <n v="540"/>
    <n v="390"/>
    <x v="0"/>
    <s v="Sat"/>
    <s v="Hi Dubai"/>
  </r>
  <r>
    <x v="26"/>
    <d v="1899-12-30T14:15:00"/>
    <x v="2"/>
    <n v="5"/>
    <n v="4"/>
    <s v="Bold Soul"/>
    <s v="2nd"/>
    <m/>
    <x v="0"/>
    <x v="1"/>
    <n v="100"/>
    <s v=""/>
    <n v="-100"/>
    <x v="0"/>
    <s v=""/>
    <n v="-100"/>
    <x v="0"/>
    <n v="100"/>
    <s v=""/>
    <n v="-100"/>
    <x v="0"/>
    <s v="Sat"/>
    <s v="Bold Soul"/>
  </r>
  <r>
    <x v="26"/>
    <d v="1899-12-30T14:15:00"/>
    <x v="2"/>
    <n v="5"/>
    <n v="8"/>
    <s v="Goldenstatewarrior"/>
    <s v="1st"/>
    <n v="4.4000000000000004"/>
    <x v="0"/>
    <x v="1"/>
    <n v="100"/>
    <n v="440.00000000000006"/>
    <n v="340.00000000000006"/>
    <x v="5"/>
    <n v="704"/>
    <n v="544"/>
    <x v="0"/>
    <n v="160"/>
    <n v="704"/>
    <n v="544"/>
    <x v="0"/>
    <s v="Sat"/>
    <s v="Goldenstatewarrior"/>
  </r>
  <r>
    <x v="26"/>
    <d v="1899-12-30T16:10:00"/>
    <x v="2"/>
    <n v="8"/>
    <n v="3"/>
    <s v="Jimmy The Bear"/>
    <s v="1st"/>
    <n v="5"/>
    <x v="0"/>
    <x v="1"/>
    <n v="100"/>
    <n v="500"/>
    <n v="400"/>
    <x v="0"/>
    <n v="500"/>
    <n v="400"/>
    <x v="0"/>
    <n v="100"/>
    <n v="500"/>
    <n v="400"/>
    <x v="0"/>
    <s v="Sat"/>
    <s v="Jimmy The Bear"/>
  </r>
  <r>
    <x v="26"/>
    <d v="1899-12-30T16:30:00"/>
    <x v="5"/>
    <n v="10"/>
    <n v="17"/>
    <s v="Hell To Pay"/>
    <m/>
    <m/>
    <x v="0"/>
    <x v="0"/>
    <n v="100"/>
    <s v=""/>
    <n v="-100"/>
    <x v="0"/>
    <s v=""/>
    <n v="-100"/>
    <x v="0"/>
    <n v="100"/>
    <s v=""/>
    <n v="-100"/>
    <x v="0"/>
    <s v="Sat"/>
    <s v="Hell To Pay"/>
  </r>
  <r>
    <x v="26"/>
    <d v="1899-12-30T16:40:00"/>
    <x v="2"/>
    <n v="9"/>
    <n v="3"/>
    <s v="Mollynickers"/>
    <m/>
    <m/>
    <x v="0"/>
    <x v="1"/>
    <n v="100"/>
    <s v=""/>
    <n v="-100"/>
    <x v="5"/>
    <s v=""/>
    <n v="-160"/>
    <x v="0"/>
    <n v="160"/>
    <s v=""/>
    <n v="-160"/>
    <x v="0"/>
    <s v="Sat"/>
    <s v="Mollynickers"/>
  </r>
  <r>
    <x v="26"/>
    <d v="1899-12-30T16:40:00"/>
    <x v="2"/>
    <n v="9"/>
    <n v="5"/>
    <s v="Stylish"/>
    <s v="3rd"/>
    <m/>
    <x v="0"/>
    <x v="1"/>
    <n v="100"/>
    <s v=""/>
    <n v="-100"/>
    <x v="3"/>
    <s v=""/>
    <n v="-150"/>
    <x v="1"/>
    <n v="125"/>
    <s v=""/>
    <n v="-125"/>
    <x v="0"/>
    <s v="Sat"/>
    <s v="Stylish"/>
  </r>
  <r>
    <x v="26"/>
    <d v="1899-12-30T16:40:00"/>
    <x v="2"/>
    <n v="9"/>
    <n v="5"/>
    <s v="Stylish"/>
    <s v="3rd"/>
    <m/>
    <x v="1"/>
    <x v="1"/>
    <n v="100"/>
    <s v=""/>
    <n v="-100"/>
    <x v="0"/>
    <s v=""/>
    <n v="-100"/>
    <x v="0"/>
    <s v=""/>
    <s v=""/>
    <s v=""/>
    <x v="0"/>
    <s v="Sat"/>
    <s v="Stylish"/>
  </r>
  <r>
    <x v="27"/>
    <d v="1899-12-30T12:20:00"/>
    <x v="0"/>
    <n v="3"/>
    <n v="10"/>
    <s v="Callistemon"/>
    <m/>
    <m/>
    <x v="0"/>
    <x v="0"/>
    <n v="100"/>
    <s v=""/>
    <n v="-100"/>
    <x v="3"/>
    <s v=""/>
    <n v="-150"/>
    <x v="0"/>
    <n v="150"/>
    <s v=""/>
    <n v="-150"/>
    <x v="0"/>
    <s v="Sat"/>
    <s v="Callistemon"/>
  </r>
  <r>
    <x v="27"/>
    <d v="1899-12-30T12:35:00"/>
    <x v="9"/>
    <n v="2"/>
    <n v="7"/>
    <s v="Shadhavar"/>
    <m/>
    <m/>
    <x v="1"/>
    <x v="1"/>
    <n v="100"/>
    <s v=""/>
    <n v="-100"/>
    <x v="0"/>
    <s v=""/>
    <n v="-100"/>
    <x v="0"/>
    <n v="100"/>
    <s v=""/>
    <n v="-100"/>
    <x v="0"/>
    <s v="Sat"/>
    <s v="Shadhavar"/>
  </r>
  <r>
    <x v="27"/>
    <d v="1899-12-30T12:55:00"/>
    <x v="0"/>
    <n v="4"/>
    <n v="3"/>
    <s v="Livin Thing"/>
    <m/>
    <m/>
    <x v="1"/>
    <x v="0"/>
    <n v="100"/>
    <s v=""/>
    <n v="-100"/>
    <x v="3"/>
    <s v=""/>
    <n v="-150"/>
    <x v="0"/>
    <n v="150"/>
    <s v=""/>
    <n v="-150"/>
    <x v="0"/>
    <s v="Sat"/>
    <s v="Livin Thing"/>
  </r>
  <r>
    <x v="27"/>
    <d v="1899-12-30T13:10:00"/>
    <x v="9"/>
    <n v="3"/>
    <n v="3"/>
    <s v="Xarpo"/>
    <m/>
    <m/>
    <x v="1"/>
    <x v="1"/>
    <n v="100"/>
    <s v=""/>
    <n v="-100"/>
    <x v="0"/>
    <s v=""/>
    <n v="-100"/>
    <x v="0"/>
    <n v="100"/>
    <s v=""/>
    <n v="-100"/>
    <x v="0"/>
    <s v="Sat"/>
    <s v="Xarpo"/>
  </r>
  <r>
    <x v="27"/>
    <d v="1899-12-30T13:30:00"/>
    <x v="0"/>
    <n v="5"/>
    <n v="3"/>
    <s v="Federer"/>
    <s v="3rd"/>
    <m/>
    <x v="1"/>
    <x v="0"/>
    <n v="100"/>
    <s v=""/>
    <n v="-100"/>
    <x v="3"/>
    <s v=""/>
    <n v="-150"/>
    <x v="0"/>
    <n v="150"/>
    <s v=""/>
    <n v="-150"/>
    <x v="0"/>
    <s v="Sat"/>
    <s v="Federer"/>
  </r>
  <r>
    <x v="27"/>
    <d v="1899-12-30T13:30:00"/>
    <x v="0"/>
    <n v="5"/>
    <n v="2"/>
    <s v="Piggyback"/>
    <m/>
    <m/>
    <x v="0"/>
    <x v="0"/>
    <n v="100"/>
    <s v=""/>
    <n v="-100"/>
    <x v="1"/>
    <s v=""/>
    <n v="-200"/>
    <x v="0"/>
    <n v="200"/>
    <s v=""/>
    <n v="-200"/>
    <x v="0"/>
    <s v="Sat"/>
    <s v="Piggyback"/>
  </r>
  <r>
    <x v="27"/>
    <d v="1899-12-30T13:38:00"/>
    <x v="7"/>
    <n v="4"/>
    <n v="10"/>
    <s v="Merchant Flyer"/>
    <s v="3rd"/>
    <m/>
    <x v="1"/>
    <x v="2"/>
    <n v="100"/>
    <s v=""/>
    <n v="-100"/>
    <x v="0"/>
    <s v=""/>
    <n v="-100"/>
    <x v="0"/>
    <n v="100"/>
    <s v=""/>
    <n v="-100"/>
    <x v="0"/>
    <s v="Sat"/>
    <s v="Merchant Flyer"/>
  </r>
  <r>
    <x v="27"/>
    <d v="1899-12-30T13:45:00"/>
    <x v="9"/>
    <n v="4"/>
    <n v="1"/>
    <s v="Pounding"/>
    <s v="2nd"/>
    <m/>
    <x v="0"/>
    <x v="1"/>
    <n v="100"/>
    <s v=""/>
    <n v="-100"/>
    <x v="3"/>
    <s v=""/>
    <n v="-150"/>
    <x v="0"/>
    <n v="150"/>
    <s v=""/>
    <n v="-150"/>
    <x v="0"/>
    <s v="Sat"/>
    <s v="Pounding"/>
  </r>
  <r>
    <x v="27"/>
    <d v="1899-12-30T14:05:00"/>
    <x v="0"/>
    <n v="6"/>
    <n v="4"/>
    <s v="Zaphod"/>
    <s v="3rd"/>
    <m/>
    <x v="0"/>
    <x v="0"/>
    <n v="100"/>
    <s v=""/>
    <n v="-100"/>
    <x v="3"/>
    <s v=""/>
    <n v="-150"/>
    <x v="0"/>
    <n v="150"/>
    <s v=""/>
    <n v="-150"/>
    <x v="0"/>
    <s v="Sat"/>
    <s v="Zaphod"/>
  </r>
  <r>
    <x v="27"/>
    <d v="1899-12-30T14:13:00"/>
    <x v="7"/>
    <n v="5"/>
    <n v="2"/>
    <s v="Restonica"/>
    <s v="1st"/>
    <n v="9"/>
    <x v="1"/>
    <x v="2"/>
    <n v="100"/>
    <n v="900"/>
    <n v="800"/>
    <x v="0"/>
    <n v="900"/>
    <n v="800"/>
    <x v="0"/>
    <n v="100"/>
    <n v="900"/>
    <n v="800"/>
    <x v="0"/>
    <s v="Sat"/>
    <s v="Restonica"/>
  </r>
  <r>
    <x v="27"/>
    <d v="1899-12-30T14:52:00"/>
    <x v="7"/>
    <n v="6"/>
    <n v="5"/>
    <s v="Aolani"/>
    <s v="3rd"/>
    <m/>
    <x v="1"/>
    <x v="2"/>
    <n v="100"/>
    <s v=""/>
    <n v="-100"/>
    <x v="0"/>
    <s v=""/>
    <n v="-100"/>
    <x v="0"/>
    <n v="100"/>
    <s v=""/>
    <n v="-100"/>
    <x v="0"/>
    <s v="Sat"/>
    <s v="Aolani"/>
  </r>
  <r>
    <x v="27"/>
    <d v="1899-12-30T15:20:00"/>
    <x v="0"/>
    <n v="8"/>
    <n v="4"/>
    <s v="Oh Diamond Lil"/>
    <s v="1st"/>
    <n v="4"/>
    <x v="0"/>
    <x v="0"/>
    <n v="100"/>
    <n v="400"/>
    <n v="300"/>
    <x v="3"/>
    <n v="600"/>
    <n v="450"/>
    <x v="0"/>
    <n v="150"/>
    <n v="600"/>
    <n v="450"/>
    <x v="0"/>
    <s v="Sat"/>
    <s v="Oh Diamond Lil"/>
  </r>
  <r>
    <x v="27"/>
    <d v="1899-12-30T15:40:00"/>
    <x v="9"/>
    <n v="7"/>
    <n v="1"/>
    <s v="Lim'S Saltoro"/>
    <m/>
    <m/>
    <x v="0"/>
    <x v="1"/>
    <n v="100"/>
    <s v=""/>
    <n v="-100"/>
    <x v="3"/>
    <s v=""/>
    <n v="-150"/>
    <x v="0"/>
    <n v="150"/>
    <s v=""/>
    <n v="-150"/>
    <x v="0"/>
    <s v="Sat"/>
    <s v="Lim'S Saltoro"/>
  </r>
  <r>
    <x v="27"/>
    <d v="1899-12-30T15:40:00"/>
    <x v="9"/>
    <n v="7"/>
    <n v="9"/>
    <s v="The Open"/>
    <m/>
    <m/>
    <x v="0"/>
    <x v="1"/>
    <n v="100"/>
    <s v=""/>
    <n v="-100"/>
    <x v="0"/>
    <s v=""/>
    <n v="-100"/>
    <x v="0"/>
    <n v="100"/>
    <s v=""/>
    <n v="-100"/>
    <x v="0"/>
    <s v="Sat"/>
    <s v="The Open"/>
  </r>
  <r>
    <x v="27"/>
    <d v="1899-12-30T15:40:00"/>
    <x v="9"/>
    <n v="7"/>
    <n v="3"/>
    <s v="Yellow Sam"/>
    <s v="3rd"/>
    <m/>
    <x v="1"/>
    <x v="1"/>
    <n v="100"/>
    <s v=""/>
    <n v="-100"/>
    <x v="0"/>
    <s v=""/>
    <n v="-100"/>
    <x v="0"/>
    <n v="100"/>
    <s v=""/>
    <n v="-100"/>
    <x v="0"/>
    <s v="Sat"/>
    <s v="Yellow Sam"/>
  </r>
  <r>
    <x v="27"/>
    <d v="1899-12-30T16:35:00"/>
    <x v="0"/>
    <n v="10"/>
    <n v="5"/>
    <s v="Changing Colours"/>
    <m/>
    <m/>
    <x v="0"/>
    <x v="0"/>
    <n v="100"/>
    <s v=""/>
    <n v="-100"/>
    <x v="3"/>
    <s v=""/>
    <n v="-150"/>
    <x v="0"/>
    <n v="150"/>
    <s v=""/>
    <n v="-150"/>
    <x v="0"/>
    <s v="Sat"/>
    <s v="Changing Colours"/>
  </r>
  <r>
    <x v="28"/>
    <d v="1899-12-30T11:50:00"/>
    <x v="5"/>
    <n v="2"/>
    <n v="6"/>
    <s v="Harry'S Bar"/>
    <s v="1st"/>
    <n v="3.6"/>
    <x v="0"/>
    <x v="0"/>
    <n v="100"/>
    <n v="360"/>
    <n v="260"/>
    <x v="6"/>
    <n v="504"/>
    <n v="364"/>
    <x v="0"/>
    <n v="140"/>
    <n v="504"/>
    <n v="364"/>
    <x v="0"/>
    <s v="Sat"/>
    <s v="Harry'S Bar"/>
  </r>
  <r>
    <x v="28"/>
    <d v="1899-12-30T14:10:00"/>
    <x v="5"/>
    <n v="6"/>
    <n v="7"/>
    <s v="Tuileries"/>
    <m/>
    <m/>
    <x v="1"/>
    <x v="0"/>
    <n v="100"/>
    <s v=""/>
    <n v="-100"/>
    <x v="3"/>
    <s v=""/>
    <n v="-150"/>
    <x v="0"/>
    <n v="150"/>
    <s v=""/>
    <n v="-150"/>
    <x v="0"/>
    <s v="Sat"/>
    <s v="Tuileries"/>
  </r>
  <r>
    <x v="28"/>
    <d v="1899-12-30T14:45:00"/>
    <x v="5"/>
    <n v="7"/>
    <n v="10"/>
    <s v="Fioprospero"/>
    <s v="3rd"/>
    <m/>
    <x v="0"/>
    <x v="0"/>
    <n v="100"/>
    <s v=""/>
    <n v="-100"/>
    <x v="0"/>
    <s v=""/>
    <n v="-100"/>
    <x v="1"/>
    <n v="125"/>
    <s v=""/>
    <n v="-125"/>
    <x v="0"/>
    <s v="Sat"/>
    <s v="Fioprospero"/>
  </r>
  <r>
    <x v="28"/>
    <d v="1899-12-30T14:45:00"/>
    <x v="5"/>
    <n v="7"/>
    <n v="10"/>
    <s v="Fioprospero"/>
    <s v="3rd"/>
    <m/>
    <x v="1"/>
    <x v="0"/>
    <n v="100"/>
    <s v=""/>
    <n v="-100"/>
    <x v="3"/>
    <s v=""/>
    <n v="-150"/>
    <x v="0"/>
    <s v=""/>
    <s v=""/>
    <s v=""/>
    <x v="0"/>
    <s v="Sat"/>
    <s v="Fioprospero"/>
  </r>
  <r>
    <x v="28"/>
    <d v="1899-12-30T15:05:00"/>
    <x v="2"/>
    <n v="6"/>
    <n v="3"/>
    <s v="Eye Of The Fire"/>
    <m/>
    <m/>
    <x v="0"/>
    <x v="1"/>
    <n v="100"/>
    <s v=""/>
    <n v="-100"/>
    <x v="4"/>
    <s v=""/>
    <n v="-50"/>
    <x v="0"/>
    <n v="50"/>
    <s v=""/>
    <n v="-50"/>
    <x v="0"/>
    <s v="Sat"/>
    <s v="Eye Of The Fire"/>
  </r>
  <r>
    <x v="28"/>
    <d v="1899-12-30T15:05:00"/>
    <x v="2"/>
    <n v="6"/>
    <n v="8"/>
    <s v="La Fracas"/>
    <s v="1st"/>
    <n v="2.4"/>
    <x v="1"/>
    <x v="1"/>
    <n v="100"/>
    <n v="240"/>
    <n v="140"/>
    <x v="0"/>
    <n v="240"/>
    <n v="140"/>
    <x v="0"/>
    <n v="100"/>
    <n v="240"/>
    <n v="140"/>
    <x v="0"/>
    <s v="Sat"/>
    <s v="La Fracas"/>
  </r>
  <r>
    <x v="28"/>
    <d v="1899-12-30T15:25:00"/>
    <x v="5"/>
    <n v="8"/>
    <n v="8"/>
    <s v="Storm The Ramparts"/>
    <s v="2nd"/>
    <m/>
    <x v="0"/>
    <x v="0"/>
    <n v="100"/>
    <s v=""/>
    <n v="-100"/>
    <x v="3"/>
    <s v=""/>
    <n v="-150"/>
    <x v="0"/>
    <n v="150"/>
    <s v=""/>
    <n v="-150"/>
    <x v="0"/>
    <s v="Sat"/>
    <s v="Storm The Ramparts"/>
  </r>
  <r>
    <x v="28"/>
    <d v="1899-12-30T15:45:00"/>
    <x v="2"/>
    <n v="7"/>
    <n v="4"/>
    <s v="Bold Soul"/>
    <m/>
    <m/>
    <x v="0"/>
    <x v="1"/>
    <n v="100"/>
    <s v=""/>
    <n v="-100"/>
    <x v="1"/>
    <s v=""/>
    <n v="-200"/>
    <x v="0"/>
    <n v="200"/>
    <s v=""/>
    <n v="-200"/>
    <x v="0"/>
    <s v="Sat"/>
    <s v="Bold Soul"/>
  </r>
  <r>
    <x v="28"/>
    <d v="1899-12-30T16:05:00"/>
    <x v="5"/>
    <n v="9"/>
    <n v="10"/>
    <s v="Thunderlips"/>
    <m/>
    <m/>
    <x v="0"/>
    <x v="0"/>
    <n v="100"/>
    <s v=""/>
    <n v="-100"/>
    <x v="3"/>
    <s v=""/>
    <n v="-150"/>
    <x v="0"/>
    <n v="150"/>
    <s v=""/>
    <n v="-150"/>
    <x v="0"/>
    <s v="Sat"/>
    <s v="Thunderlips"/>
  </r>
  <r>
    <x v="28"/>
    <d v="1899-12-30T16:52:00"/>
    <x v="2"/>
    <n v="9"/>
    <n v="9"/>
    <s v="Cheerstothat"/>
    <m/>
    <m/>
    <x v="0"/>
    <x v="1"/>
    <n v="100"/>
    <s v=""/>
    <n v="-100"/>
    <x v="4"/>
    <s v=""/>
    <n v="-50"/>
    <x v="0"/>
    <n v="50"/>
    <s v=""/>
    <n v="-50"/>
    <x v="0"/>
    <s v="Sat"/>
    <s v="Cheerstothat"/>
  </r>
  <r>
    <x v="29"/>
    <d v="1899-12-30T11:55:00"/>
    <x v="0"/>
    <n v="2"/>
    <n v="16"/>
    <s v="Starphistocated"/>
    <m/>
    <m/>
    <x v="0"/>
    <x v="0"/>
    <n v="100"/>
    <s v=""/>
    <n v="-100"/>
    <x v="0"/>
    <s v=""/>
    <n v="-100"/>
    <x v="0"/>
    <n v="100"/>
    <s v=""/>
    <n v="-100"/>
    <x v="0"/>
    <s v="Sat"/>
    <s v="Starphistocated"/>
  </r>
  <r>
    <x v="29"/>
    <d v="1899-12-30T12:38:00"/>
    <x v="7"/>
    <n v="2"/>
    <n v="2"/>
    <s v="Weigall Tiger"/>
    <s v="2nd"/>
    <m/>
    <x v="1"/>
    <x v="2"/>
    <n v="100"/>
    <s v=""/>
    <n v="-100"/>
    <x v="0"/>
    <s v=""/>
    <n v="-100"/>
    <x v="0"/>
    <n v="100"/>
    <s v=""/>
    <n v="-100"/>
    <x v="0"/>
    <s v="Sat"/>
    <s v="Weigall Tiger"/>
  </r>
  <r>
    <x v="29"/>
    <d v="1899-12-30T14:15:00"/>
    <x v="0"/>
    <n v="6"/>
    <n v="5"/>
    <s v="She'S Unusual"/>
    <m/>
    <m/>
    <x v="0"/>
    <x v="0"/>
    <n v="100"/>
    <s v=""/>
    <n v="-100"/>
    <x v="3"/>
    <s v=""/>
    <n v="-150"/>
    <x v="0"/>
    <n v="150"/>
    <s v=""/>
    <n v="-150"/>
    <x v="0"/>
    <s v="Sat"/>
    <s v="She'S Unusual"/>
  </r>
  <r>
    <x v="29"/>
    <d v="1899-12-30T15:10:00"/>
    <x v="9"/>
    <n v="6"/>
    <n v="6"/>
    <s v="Shadhavar"/>
    <s v="3rd"/>
    <m/>
    <x v="1"/>
    <x v="1"/>
    <n v="100"/>
    <s v=""/>
    <n v="-100"/>
    <x v="0"/>
    <s v=""/>
    <n v="-100"/>
    <x v="0"/>
    <n v="100"/>
    <s v=""/>
    <n v="-100"/>
    <x v="0"/>
    <s v="Sat"/>
    <s v="Shadhavar"/>
  </r>
  <r>
    <x v="29"/>
    <d v="1899-12-30T15:42:00"/>
    <x v="7"/>
    <n v="7"/>
    <n v="7"/>
    <s v="Cunnamulla Fella"/>
    <m/>
    <m/>
    <x v="1"/>
    <x v="2"/>
    <n v="100"/>
    <s v=""/>
    <n v="-100"/>
    <x v="0"/>
    <s v=""/>
    <n v="-100"/>
    <x v="0"/>
    <n v="100"/>
    <s v=""/>
    <n v="-100"/>
    <x v="0"/>
    <s v="Sat"/>
    <s v="Cunnamulla Fella"/>
  </r>
  <r>
    <x v="29"/>
    <d v="1899-12-30T15:50:00"/>
    <x v="9"/>
    <n v="7"/>
    <n v="10"/>
    <s v="Regal Vow"/>
    <m/>
    <m/>
    <x v="0"/>
    <x v="1"/>
    <n v="100"/>
    <s v=""/>
    <n v="-100"/>
    <x v="4"/>
    <s v=""/>
    <n v="-50"/>
    <x v="0"/>
    <n v="50"/>
    <s v=""/>
    <n v="-50"/>
    <x v="0"/>
    <s v="Sat"/>
    <s v="Regal Vow"/>
  </r>
  <r>
    <x v="29"/>
    <d v="1899-12-30T16:18:00"/>
    <x v="7"/>
    <n v="8"/>
    <n v="1"/>
    <s v="Metalart"/>
    <s v="L/Scr"/>
    <n v="1"/>
    <x v="1"/>
    <x v="2"/>
    <n v="100"/>
    <s v=""/>
    <n v="-100"/>
    <x v="0"/>
    <s v=""/>
    <n v="-100"/>
    <x v="0"/>
    <n v="100"/>
    <s v=""/>
    <n v="-100"/>
    <x v="0"/>
    <s v="Sat"/>
    <s v="Metalart"/>
  </r>
  <r>
    <x v="29"/>
    <d v="1899-12-30T16:45:00"/>
    <x v="0"/>
    <n v="10"/>
    <n v="6"/>
    <s v="Puntin"/>
    <m/>
    <m/>
    <x v="0"/>
    <x v="0"/>
    <n v="100"/>
    <s v=""/>
    <n v="-100"/>
    <x v="3"/>
    <s v=""/>
    <n v="-150"/>
    <x v="0"/>
    <n v="150"/>
    <s v=""/>
    <n v="-150"/>
    <x v="0"/>
    <s v="Sat"/>
    <s v="Puntin"/>
  </r>
  <r>
    <x v="29"/>
    <d v="1899-12-30T16:55:00"/>
    <x v="9"/>
    <n v="9"/>
    <n v="6"/>
    <s v="Keep Your Cool"/>
    <m/>
    <m/>
    <x v="1"/>
    <x v="1"/>
    <n v="100"/>
    <s v=""/>
    <n v="-100"/>
    <x v="0"/>
    <s v=""/>
    <n v="-100"/>
    <x v="0"/>
    <n v="100"/>
    <s v=""/>
    <n v="-100"/>
    <x v="0"/>
    <s v="Sat"/>
    <s v="Keep Your Cool"/>
  </r>
  <r>
    <x v="30"/>
    <d v="1899-12-30T12:00:00"/>
    <x v="5"/>
    <n v="2"/>
    <n v="5"/>
    <s v="Cold Brew"/>
    <s v="1st"/>
    <n v="4.8"/>
    <x v="0"/>
    <x v="0"/>
    <n v="100"/>
    <n v="480"/>
    <n v="380"/>
    <x v="3"/>
    <n v="720"/>
    <n v="570"/>
    <x v="0"/>
    <n v="150"/>
    <n v="720"/>
    <n v="570"/>
    <x v="0"/>
    <s v="Sat"/>
    <s v="Cold Brew"/>
  </r>
  <r>
    <x v="30"/>
    <d v="1899-12-30T12:08:00"/>
    <x v="4"/>
    <n v="1"/>
    <n v="3"/>
    <s v="Just Flying"/>
    <s v="3rd"/>
    <m/>
    <x v="1"/>
    <x v="2"/>
    <n v="100"/>
    <s v=""/>
    <n v="-100"/>
    <x v="0"/>
    <s v=""/>
    <n v="-100"/>
    <x v="0"/>
    <n v="100"/>
    <s v=""/>
    <n v="-100"/>
    <x v="0"/>
    <s v="Sat"/>
    <s v="Just Flying"/>
  </r>
  <r>
    <x v="30"/>
    <d v="1899-12-30T12:43:00"/>
    <x v="4"/>
    <n v="2"/>
    <n v="10"/>
    <s v="Sicilian"/>
    <s v="2nd"/>
    <m/>
    <x v="1"/>
    <x v="2"/>
    <n v="100"/>
    <s v=""/>
    <n v="-100"/>
    <x v="0"/>
    <s v=""/>
    <n v="-100"/>
    <x v="0"/>
    <n v="100"/>
    <s v=""/>
    <n v="-100"/>
    <x v="0"/>
    <s v="Sat"/>
    <s v="Sicilian"/>
  </r>
  <r>
    <x v="30"/>
    <d v="1899-12-30T12:50:00"/>
    <x v="2"/>
    <n v="2"/>
    <n v="6"/>
    <s v="Bold Soul"/>
    <s v="1st"/>
    <n v="3"/>
    <x v="0"/>
    <x v="1"/>
    <n v="100"/>
    <n v="300"/>
    <n v="200"/>
    <x v="1"/>
    <n v="600"/>
    <n v="400"/>
    <x v="0"/>
    <n v="200"/>
    <n v="600"/>
    <n v="400"/>
    <x v="0"/>
    <s v="Sat"/>
    <s v="Bold Soul"/>
  </r>
  <r>
    <x v="30"/>
    <d v="1899-12-30T13:10:00"/>
    <x v="5"/>
    <n v="4"/>
    <n v="13"/>
    <s v="Sunshine Law"/>
    <s v="1st"/>
    <n v="6"/>
    <x v="0"/>
    <x v="0"/>
    <n v="100"/>
    <n v="600"/>
    <n v="500"/>
    <x v="0"/>
    <n v="600"/>
    <n v="500"/>
    <x v="0"/>
    <n v="100"/>
    <n v="600"/>
    <n v="500"/>
    <x v="0"/>
    <s v="Sat"/>
    <s v="Sunshine Law"/>
  </r>
  <r>
    <x v="30"/>
    <d v="1899-12-30T14:00:00"/>
    <x v="2"/>
    <n v="4"/>
    <n v="9"/>
    <s v="Documentary"/>
    <m/>
    <m/>
    <x v="0"/>
    <x v="1"/>
    <n v="100"/>
    <s v=""/>
    <n v="-100"/>
    <x v="0"/>
    <s v=""/>
    <n v="-100"/>
    <x v="1"/>
    <n v="100"/>
    <s v=""/>
    <n v="-100"/>
    <x v="0"/>
    <s v="Sat"/>
    <s v="Documentary"/>
  </r>
  <r>
    <x v="30"/>
    <d v="1899-12-30T14:00:00"/>
    <x v="2"/>
    <n v="4"/>
    <n v="9"/>
    <s v="Documentary"/>
    <m/>
    <m/>
    <x v="1"/>
    <x v="1"/>
    <n v="100"/>
    <s v=""/>
    <n v="-100"/>
    <x v="0"/>
    <s v=""/>
    <n v="-100"/>
    <x v="0"/>
    <s v=""/>
    <s v=""/>
    <s v=""/>
    <x v="0"/>
    <s v="Sat"/>
    <s v="Documentary"/>
  </r>
  <r>
    <x v="30"/>
    <d v="1899-12-30T14:28:00"/>
    <x v="4"/>
    <n v="5"/>
    <n v="1"/>
    <s v="Tuff Tu Mus"/>
    <s v="1st"/>
    <n v="1.7"/>
    <x v="1"/>
    <x v="2"/>
    <n v="100"/>
    <n v="170"/>
    <n v="70"/>
    <x v="0"/>
    <n v="170"/>
    <n v="70"/>
    <x v="0"/>
    <n v="100"/>
    <n v="170"/>
    <n v="70"/>
    <x v="0"/>
    <s v="Sat"/>
    <s v="Tuff Tu Mus"/>
  </r>
  <r>
    <x v="30"/>
    <d v="1899-12-30T14:35:00"/>
    <x v="2"/>
    <n v="5"/>
    <n v="1"/>
    <s v="Aztec State"/>
    <m/>
    <m/>
    <x v="0"/>
    <x v="1"/>
    <n v="100"/>
    <s v=""/>
    <n v="-100"/>
    <x v="3"/>
    <s v=""/>
    <n v="-150"/>
    <x v="0"/>
    <n v="150"/>
    <s v=""/>
    <n v="-150"/>
    <x v="0"/>
    <s v="Sat"/>
    <s v="Aztec State"/>
  </r>
  <r>
    <x v="30"/>
    <d v="1899-12-30T14:35:00"/>
    <x v="2"/>
    <n v="5"/>
    <n v="14"/>
    <s v="Federer"/>
    <s v="2nd"/>
    <m/>
    <x v="1"/>
    <x v="1"/>
    <n v="100"/>
    <s v=""/>
    <n v="-100"/>
    <x v="0"/>
    <s v=""/>
    <n v="-100"/>
    <x v="0"/>
    <n v="100"/>
    <s v=""/>
    <n v="-100"/>
    <x v="0"/>
    <s v="Sat"/>
    <s v="Federer"/>
  </r>
  <r>
    <x v="30"/>
    <d v="1899-12-30T15:10:00"/>
    <x v="2"/>
    <n v="6"/>
    <n v="8"/>
    <s v="Zou Sensation"/>
    <s v="1st"/>
    <n v="2.6"/>
    <x v="0"/>
    <x v="1"/>
    <n v="100"/>
    <n v="260"/>
    <n v="160"/>
    <x v="1"/>
    <n v="520"/>
    <n v="320"/>
    <x v="1"/>
    <n v="200"/>
    <n v="520"/>
    <n v="320"/>
    <x v="0"/>
    <s v="Sat"/>
    <s v="Zou Sensation"/>
  </r>
  <r>
    <x v="30"/>
    <d v="1899-12-30T15:10:00"/>
    <x v="2"/>
    <n v="6"/>
    <n v="8"/>
    <s v="Zou Sensation"/>
    <s v="1st"/>
    <n v="2.6"/>
    <x v="1"/>
    <x v="1"/>
    <n v="100"/>
    <n v="260"/>
    <n v="160"/>
    <x v="1"/>
    <n v="520"/>
    <n v="320"/>
    <x v="0"/>
    <s v=""/>
    <s v=""/>
    <s v=""/>
    <x v="0"/>
    <s v="Sat"/>
    <s v="Zou Sensation"/>
  </r>
  <r>
    <x v="30"/>
    <d v="1899-12-30T15:35:00"/>
    <x v="5"/>
    <n v="8"/>
    <n v="12"/>
    <s v="Just In Time"/>
    <m/>
    <m/>
    <x v="0"/>
    <x v="0"/>
    <n v="100"/>
    <s v=""/>
    <n v="-100"/>
    <x v="3"/>
    <s v=""/>
    <n v="-150"/>
    <x v="0"/>
    <n v="150"/>
    <s v=""/>
    <n v="-150"/>
    <x v="0"/>
    <s v="Sat"/>
    <s v="Just In Time"/>
  </r>
  <r>
    <x v="30"/>
    <d v="1899-12-30T15:43:00"/>
    <x v="4"/>
    <n v="7"/>
    <n v="7"/>
    <s v="Cho Oyu"/>
    <m/>
    <m/>
    <x v="1"/>
    <x v="2"/>
    <n v="100"/>
    <s v=""/>
    <n v="-100"/>
    <x v="0"/>
    <s v=""/>
    <n v="-100"/>
    <x v="0"/>
    <n v="100"/>
    <s v=""/>
    <n v="-100"/>
    <x v="0"/>
    <s v="Sat"/>
    <s v="Cho Oyu"/>
  </r>
  <r>
    <x v="30"/>
    <d v="1899-12-30T15:50:00"/>
    <x v="2"/>
    <n v="7"/>
    <n v="11"/>
    <s v="Splash Back"/>
    <m/>
    <m/>
    <x v="0"/>
    <x v="1"/>
    <n v="100"/>
    <s v=""/>
    <n v="-100"/>
    <x v="0"/>
    <s v=""/>
    <n v="-100"/>
    <x v="0"/>
    <n v="100"/>
    <s v=""/>
    <n v="-100"/>
    <x v="0"/>
    <s v="Sat"/>
    <s v="Splash Back"/>
  </r>
  <r>
    <x v="30"/>
    <d v="1899-12-30T16:18:00"/>
    <x v="4"/>
    <n v="8"/>
    <n v="2"/>
    <s v="Metalart"/>
    <m/>
    <m/>
    <x v="1"/>
    <x v="2"/>
    <n v="100"/>
    <s v=""/>
    <n v="-100"/>
    <x v="0"/>
    <s v=""/>
    <n v="-100"/>
    <x v="0"/>
    <n v="100"/>
    <s v=""/>
    <n v="-100"/>
    <x v="0"/>
    <s v="Sat"/>
    <s v="Metalart"/>
  </r>
  <r>
    <x v="30"/>
    <d v="1899-12-30T16:25:00"/>
    <x v="2"/>
    <n v="8"/>
    <n v="11"/>
    <s v="One Long Day"/>
    <m/>
    <m/>
    <x v="0"/>
    <x v="1"/>
    <n v="100"/>
    <s v=""/>
    <n v="-100"/>
    <x v="0"/>
    <s v=""/>
    <n v="-100"/>
    <x v="1"/>
    <n v="100"/>
    <s v=""/>
    <n v="-100"/>
    <x v="0"/>
    <s v="Sat"/>
    <s v="One Long Day"/>
  </r>
  <r>
    <x v="30"/>
    <d v="1899-12-30T16:25:00"/>
    <x v="2"/>
    <n v="8"/>
    <n v="11"/>
    <s v="One Long Day"/>
    <m/>
    <m/>
    <x v="1"/>
    <x v="1"/>
    <n v="100"/>
    <s v=""/>
    <n v="-100"/>
    <x v="0"/>
    <s v=""/>
    <n v="-100"/>
    <x v="0"/>
    <s v=""/>
    <s v=""/>
    <s v=""/>
    <x v="0"/>
    <s v="Sat"/>
    <s v="One Long Day"/>
  </r>
  <r>
    <x v="30"/>
    <d v="1899-12-30T16:45:00"/>
    <x v="5"/>
    <n v="10"/>
    <n v="4"/>
    <s v="Balkans"/>
    <m/>
    <m/>
    <x v="0"/>
    <x v="0"/>
    <n v="100"/>
    <s v=""/>
    <n v="-100"/>
    <x v="0"/>
    <s v=""/>
    <n v="-100"/>
    <x v="0"/>
    <n v="100"/>
    <s v=""/>
    <n v="-100"/>
    <x v="0"/>
    <s v="Sat"/>
    <s v="Balkans"/>
  </r>
  <r>
    <x v="30"/>
    <d v="1899-12-30T16:50:00"/>
    <x v="4"/>
    <n v="9"/>
    <n v="16"/>
    <s v="Hawker Hall"/>
    <s v="3rd"/>
    <m/>
    <x v="1"/>
    <x v="2"/>
    <n v="100"/>
    <s v=""/>
    <n v="-100"/>
    <x v="0"/>
    <s v=""/>
    <n v="-100"/>
    <x v="0"/>
    <n v="100"/>
    <s v=""/>
    <n v="-100"/>
    <x v="0"/>
    <s v="Sat"/>
    <s v="Hawker Hall"/>
  </r>
  <r>
    <x v="30"/>
    <d v="1899-12-30T16:55:00"/>
    <x v="2"/>
    <n v="9"/>
    <n v="9"/>
    <s v="Illyivy"/>
    <m/>
    <m/>
    <x v="0"/>
    <x v="1"/>
    <n v="100"/>
    <s v=""/>
    <n v="-100"/>
    <x v="0"/>
    <s v=""/>
    <n v="-100"/>
    <x v="0"/>
    <n v="100"/>
    <s v=""/>
    <n v="-100"/>
    <x v="0"/>
    <s v="Sat"/>
    <s v="Illyivy"/>
  </r>
  <r>
    <x v="30"/>
    <d v="1899-12-30T16:55:00"/>
    <x v="2"/>
    <n v="9"/>
    <n v="1"/>
    <s v="Stylish"/>
    <s v="1st"/>
    <n v="4"/>
    <x v="0"/>
    <x v="1"/>
    <n v="100"/>
    <n v="400"/>
    <n v="300"/>
    <x v="3"/>
    <n v="600"/>
    <n v="450"/>
    <x v="0"/>
    <n v="150"/>
    <n v="600"/>
    <n v="450"/>
    <x v="0"/>
    <s v="Sat"/>
    <s v="Stylish"/>
  </r>
  <r>
    <x v="31"/>
    <d v="1899-12-30T11:38:00"/>
    <x v="4"/>
    <n v="1"/>
    <n v="6"/>
    <s v="Kadall"/>
    <s v="3rd"/>
    <m/>
    <x v="1"/>
    <x v="2"/>
    <n v="100"/>
    <s v=""/>
    <n v="-100"/>
    <x v="0"/>
    <s v=""/>
    <n v="-100"/>
    <x v="0"/>
    <n v="100"/>
    <s v=""/>
    <n v="-100"/>
    <x v="0"/>
    <s v="Sat"/>
    <s v="Kadall"/>
  </r>
  <r>
    <x v="31"/>
    <d v="1899-12-30T13:23:00"/>
    <x v="4"/>
    <n v="4"/>
    <n v="7"/>
    <s v="Free Carry"/>
    <s v="1st"/>
    <n v="4.8"/>
    <x v="1"/>
    <x v="2"/>
    <n v="100"/>
    <n v="480"/>
    <n v="380"/>
    <x v="0"/>
    <n v="480"/>
    <n v="380"/>
    <x v="0"/>
    <n v="100"/>
    <n v="480"/>
    <n v="380"/>
    <x v="0"/>
    <s v="Sat"/>
    <s v="Free Carry"/>
  </r>
  <r>
    <x v="31"/>
    <d v="1899-12-30T13:30:00"/>
    <x v="10"/>
    <n v="3"/>
    <n v="6"/>
    <s v="Takeko"/>
    <s v="1st"/>
    <n v="4.8"/>
    <x v="0"/>
    <x v="1"/>
    <n v="100"/>
    <n v="480"/>
    <n v="380"/>
    <x v="3"/>
    <n v="720"/>
    <n v="570"/>
    <x v="0"/>
    <n v="150"/>
    <n v="720"/>
    <n v="570"/>
    <x v="0"/>
    <s v="Sat"/>
    <s v="Takeko"/>
  </r>
  <r>
    <x v="31"/>
    <d v="1899-12-30T13:58:00"/>
    <x v="4"/>
    <n v="5"/>
    <n v="3"/>
    <s v="Fioprospero"/>
    <m/>
    <m/>
    <x v="1"/>
    <x v="2"/>
    <n v="100"/>
    <s v=""/>
    <n v="-100"/>
    <x v="0"/>
    <s v=""/>
    <n v="-100"/>
    <x v="0"/>
    <n v="100"/>
    <s v=""/>
    <n v="-100"/>
    <x v="0"/>
    <s v="Sat"/>
    <s v="Fioprospero"/>
  </r>
  <r>
    <x v="31"/>
    <d v="1899-12-30T15:12:00"/>
    <x v="4"/>
    <n v="7"/>
    <n v="9"/>
    <s v="Bullion Boy"/>
    <s v="2nd"/>
    <m/>
    <x v="1"/>
    <x v="2"/>
    <n v="100"/>
    <s v=""/>
    <n v="-100"/>
    <x v="0"/>
    <s v=""/>
    <n v="-100"/>
    <x v="0"/>
    <n v="100"/>
    <s v=""/>
    <n v="-100"/>
    <x v="0"/>
    <s v="Sat"/>
    <s v="Bullion Boy"/>
  </r>
  <r>
    <x v="31"/>
    <d v="1899-12-30T15:48:00"/>
    <x v="4"/>
    <n v="8"/>
    <n v="3"/>
    <s v="Power Beau"/>
    <m/>
    <m/>
    <x v="1"/>
    <x v="2"/>
    <n v="100"/>
    <s v=""/>
    <n v="-100"/>
    <x v="0"/>
    <s v=""/>
    <n v="-100"/>
    <x v="0"/>
    <n v="100"/>
    <s v=""/>
    <n v="-100"/>
    <x v="0"/>
    <s v="Sat"/>
    <s v="Power Beau"/>
  </r>
  <r>
    <x v="31"/>
    <d v="1899-12-30T15:55:00"/>
    <x v="10"/>
    <n v="7"/>
    <n v="5"/>
    <s v="Sayedaty Sadaty"/>
    <s v="3rd"/>
    <m/>
    <x v="0"/>
    <x v="1"/>
    <n v="100"/>
    <s v=""/>
    <n v="-100"/>
    <x v="3"/>
    <s v=""/>
    <n v="-150"/>
    <x v="0"/>
    <n v="150"/>
    <s v=""/>
    <n v="-150"/>
    <x v="0"/>
    <s v="Sat"/>
    <s v="Sayedaty Sadaty"/>
  </r>
  <r>
    <x v="31"/>
    <d v="1899-12-30T16:27:00"/>
    <x v="4"/>
    <n v="9"/>
    <n v="14"/>
    <s v="Pareto"/>
    <m/>
    <m/>
    <x v="1"/>
    <x v="2"/>
    <n v="100"/>
    <s v=""/>
    <n v="-100"/>
    <x v="0"/>
    <s v=""/>
    <n v="-100"/>
    <x v="0"/>
    <n v="100"/>
    <s v=""/>
    <n v="-100"/>
    <x v="0"/>
    <s v="Sat"/>
    <s v="Pareto"/>
  </r>
  <r>
    <x v="32"/>
    <d v="1899-12-30T11:43:00"/>
    <x v="7"/>
    <n v="1"/>
    <n v="6"/>
    <s v="Victory Flame"/>
    <m/>
    <m/>
    <x v="1"/>
    <x v="2"/>
    <n v="100"/>
    <s v=""/>
    <n v="-100"/>
    <x v="0"/>
    <s v=""/>
    <n v="-100"/>
    <x v="0"/>
    <n v="100"/>
    <s v=""/>
    <n v="-100"/>
    <x v="0"/>
    <s v="Sat"/>
    <s v="Victory Flame"/>
  </r>
  <r>
    <x v="32"/>
    <d v="1899-12-30T12:18:00"/>
    <x v="7"/>
    <n v="2"/>
    <n v="5"/>
    <s v="The Right Way"/>
    <s v="1st"/>
    <n v="3.5"/>
    <x v="1"/>
    <x v="2"/>
    <n v="100"/>
    <n v="350"/>
    <n v="250"/>
    <x v="0"/>
    <n v="350"/>
    <n v="250"/>
    <x v="0"/>
    <n v="100"/>
    <n v="350"/>
    <n v="250"/>
    <x v="0"/>
    <s v="Sat"/>
    <s v="The Right Way"/>
  </r>
  <r>
    <x v="32"/>
    <d v="1899-12-30T13:20:00"/>
    <x v="5"/>
    <n v="4"/>
    <n v="9"/>
    <s v="Amreekiyah"/>
    <m/>
    <m/>
    <x v="0"/>
    <x v="0"/>
    <n v="100"/>
    <s v=""/>
    <n v="-100"/>
    <x v="0"/>
    <s v=""/>
    <n v="-100"/>
    <x v="0"/>
    <n v="100"/>
    <s v=""/>
    <n v="-100"/>
    <x v="0"/>
    <s v="Sat"/>
    <s v="Amreekiyah"/>
  </r>
  <r>
    <x v="32"/>
    <d v="1899-12-30T14:30:00"/>
    <x v="5"/>
    <n v="6"/>
    <n v="11"/>
    <s v="Pure Alpha"/>
    <m/>
    <m/>
    <x v="0"/>
    <x v="0"/>
    <n v="100"/>
    <s v=""/>
    <n v="-100"/>
    <x v="6"/>
    <s v=""/>
    <n v="-140"/>
    <x v="0"/>
    <n v="140"/>
    <s v=""/>
    <n v="-140"/>
    <x v="0"/>
    <s v="Sat"/>
    <s v="Pure Alpha"/>
  </r>
  <r>
    <x v="32"/>
    <d v="1899-12-30T15:17:00"/>
    <x v="7"/>
    <n v="7"/>
    <n v="9"/>
    <s v="Naval Trader"/>
    <s v="2nd"/>
    <m/>
    <x v="1"/>
    <x v="2"/>
    <n v="100"/>
    <s v=""/>
    <n v="-100"/>
    <x v="0"/>
    <s v=""/>
    <n v="-100"/>
    <x v="0"/>
    <n v="100"/>
    <s v=""/>
    <n v="-100"/>
    <x v="0"/>
    <s v="Sat"/>
    <s v="Naval Trader"/>
  </r>
  <r>
    <x v="32"/>
    <d v="1899-12-30T15:53:00"/>
    <x v="7"/>
    <n v="8"/>
    <n v="9"/>
    <s v="Defiant Spirit"/>
    <m/>
    <m/>
    <x v="1"/>
    <x v="2"/>
    <n v="100"/>
    <s v=""/>
    <n v="-100"/>
    <x v="0"/>
    <s v=""/>
    <n v="-100"/>
    <x v="0"/>
    <n v="100"/>
    <s v=""/>
    <n v="-100"/>
    <x v="0"/>
    <s v="Sat"/>
    <s v="Defiant Spirit"/>
  </r>
  <r>
    <x v="32"/>
    <d v="1899-12-30T16:20:00"/>
    <x v="5"/>
    <n v="9"/>
    <n v="7"/>
    <s v="Polyglot"/>
    <s v="2nd"/>
    <m/>
    <x v="0"/>
    <x v="0"/>
    <n v="100"/>
    <s v=""/>
    <n v="-100"/>
    <x v="3"/>
    <s v=""/>
    <n v="-150"/>
    <x v="0"/>
    <n v="150"/>
    <s v=""/>
    <n v="-150"/>
    <x v="0"/>
    <s v="Sat"/>
    <s v="Polyglot"/>
  </r>
  <r>
    <x v="32"/>
    <d v="1899-12-30T16:28:00"/>
    <x v="7"/>
    <n v="9"/>
    <n v="14"/>
    <s v="The Extreme Cat"/>
    <m/>
    <m/>
    <x v="1"/>
    <x v="2"/>
    <n v="100"/>
    <s v=""/>
    <n v="-100"/>
    <x v="0"/>
    <s v=""/>
    <n v="-100"/>
    <x v="0"/>
    <n v="100"/>
    <s v=""/>
    <n v="-100"/>
    <x v="0"/>
    <s v="Sat"/>
    <s v="The Extreme Cat"/>
  </r>
  <r>
    <x v="32"/>
    <d v="1899-12-30T16:35:00"/>
    <x v="9"/>
    <n v="8"/>
    <n v="6"/>
    <s v="Evaporate"/>
    <m/>
    <m/>
    <x v="0"/>
    <x v="1"/>
    <n v="100"/>
    <s v=""/>
    <n v="-100"/>
    <x v="3"/>
    <s v=""/>
    <n v="-150"/>
    <x v="0"/>
    <n v="150"/>
    <s v=""/>
    <n v="-150"/>
    <x v="0"/>
    <s v="Sat"/>
    <s v="Evaporate"/>
  </r>
  <r>
    <x v="32"/>
    <d v="1899-12-30T16:35:00"/>
    <x v="9"/>
    <n v="8"/>
    <n v="1"/>
    <s v="Private Eye"/>
    <s v="1st"/>
    <n v="3.4"/>
    <x v="0"/>
    <x v="1"/>
    <n v="100"/>
    <n v="340"/>
    <n v="240"/>
    <x v="5"/>
    <n v="544"/>
    <n v="384"/>
    <x v="0"/>
    <n v="160"/>
    <n v="544"/>
    <n v="384"/>
    <x v="0"/>
    <s v="Sat"/>
    <s v="Private Eye"/>
  </r>
  <r>
    <x v="32"/>
    <d v="1899-12-30T17:15:00"/>
    <x v="9"/>
    <n v="9"/>
    <n v="12"/>
    <s v="Too Darn Discreet"/>
    <s v="2nd"/>
    <m/>
    <x v="0"/>
    <x v="1"/>
    <n v="100"/>
    <s v=""/>
    <n v="-100"/>
    <x v="3"/>
    <s v=""/>
    <n v="-150"/>
    <x v="0"/>
    <n v="150"/>
    <s v=""/>
    <n v="-150"/>
    <x v="0"/>
    <s v="Sat"/>
    <s v="Too Darn Discreet"/>
  </r>
  <r>
    <x v="33"/>
    <d v="1899-12-30T13:25:00"/>
    <x v="0"/>
    <n v="4"/>
    <n v="2"/>
    <s v="Kerguelen"/>
    <s v="1st"/>
    <n v="3.9"/>
    <x v="0"/>
    <x v="0"/>
    <n v="100"/>
    <n v="390"/>
    <n v="290"/>
    <x v="3"/>
    <n v="585"/>
    <n v="435"/>
    <x v="0"/>
    <n v="150"/>
    <n v="585"/>
    <n v="435"/>
    <x v="0"/>
    <s v="Sat"/>
    <s v="Kerguelen"/>
  </r>
  <r>
    <x v="33"/>
    <d v="1899-12-30T14:00:00"/>
    <x v="0"/>
    <n v="5"/>
    <n v="7"/>
    <s v="Nellie Leylax"/>
    <s v="1st"/>
    <n v="5.5"/>
    <x v="0"/>
    <x v="0"/>
    <n v="100"/>
    <n v="550"/>
    <n v="450"/>
    <x v="0"/>
    <n v="550"/>
    <n v="450"/>
    <x v="0"/>
    <n v="100"/>
    <n v="550"/>
    <n v="450"/>
    <x v="0"/>
    <s v="Sat"/>
    <s v="Nellie Leylax"/>
  </r>
  <r>
    <x v="33"/>
    <d v="1899-12-30T16:30:00"/>
    <x v="0"/>
    <n v="9"/>
    <n v="12"/>
    <s v="Just Feelin' Lucky"/>
    <m/>
    <m/>
    <x v="0"/>
    <x v="0"/>
    <n v="100"/>
    <s v=""/>
    <n v="-100"/>
    <x v="0"/>
    <s v=""/>
    <n v="-100"/>
    <x v="0"/>
    <n v="100"/>
    <s v=""/>
    <n v="-100"/>
    <x v="0"/>
    <s v="Sat"/>
    <s v="Just Feelin' Lucky"/>
  </r>
  <r>
    <x v="33"/>
    <d v="1899-12-30T17:15:00"/>
    <x v="10"/>
    <n v="8"/>
    <n v="3"/>
    <s v="Globe"/>
    <s v="2nd"/>
    <m/>
    <x v="0"/>
    <x v="1"/>
    <n v="100"/>
    <s v=""/>
    <n v="-100"/>
    <x v="3"/>
    <s v=""/>
    <n v="-150"/>
    <x v="0"/>
    <n v="150"/>
    <s v=""/>
    <n v="-150"/>
    <x v="0"/>
    <s v="Sat"/>
    <s v="Globe"/>
  </r>
  <r>
    <x v="33"/>
    <d v="1899-12-30T17:15:00"/>
    <x v="10"/>
    <n v="8"/>
    <n v="12"/>
    <s v="Hard To Cross"/>
    <s v="1st"/>
    <n v="4.8"/>
    <x v="1"/>
    <x v="1"/>
    <n v="100"/>
    <n v="480"/>
    <n v="380"/>
    <x v="0"/>
    <n v="480"/>
    <n v="380"/>
    <x v="0"/>
    <n v="100"/>
    <n v="480"/>
    <n v="380"/>
    <x v="0"/>
    <s v="Sat"/>
    <s v="Hard To Cross"/>
  </r>
  <r>
    <x v="33"/>
    <d v="1899-12-30T17:45:00"/>
    <x v="10"/>
    <n v="9"/>
    <n v="6"/>
    <s v="De Bergerac"/>
    <m/>
    <m/>
    <x v="1"/>
    <x v="1"/>
    <n v="100"/>
    <s v=""/>
    <n v="-100"/>
    <x v="0"/>
    <s v=""/>
    <n v="-100"/>
    <x v="0"/>
    <n v="100"/>
    <s v=""/>
    <n v="-100"/>
    <x v="0"/>
    <s v="Sat"/>
    <s v="De Bergerac"/>
  </r>
  <r>
    <x v="34"/>
    <d v="1899-12-30T11:53:00"/>
    <x v="4"/>
    <n v="1"/>
    <n v="8"/>
    <s v="Vindicta"/>
    <m/>
    <m/>
    <x v="1"/>
    <x v="2"/>
    <n v="100"/>
    <s v=""/>
    <n v="-100"/>
    <x v="0"/>
    <s v=""/>
    <n v="-100"/>
    <x v="0"/>
    <n v="100"/>
    <s v=""/>
    <n v="-100"/>
    <x v="0"/>
    <s v="Sat"/>
    <s v="Vindicta"/>
  </r>
  <r>
    <x v="34"/>
    <d v="1899-12-30T12:28:00"/>
    <x v="4"/>
    <n v="2"/>
    <n v="2"/>
    <s v="The Right Way"/>
    <s v="1st"/>
    <n v="3.5"/>
    <x v="1"/>
    <x v="2"/>
    <n v="100"/>
    <n v="350"/>
    <n v="250"/>
    <x v="0"/>
    <n v="350"/>
    <n v="250"/>
    <x v="0"/>
    <n v="100"/>
    <n v="350"/>
    <n v="250"/>
    <x v="0"/>
    <s v="Sat"/>
    <s v="The Right Way"/>
  </r>
  <r>
    <x v="34"/>
    <d v="1899-12-30T12:55:00"/>
    <x v="5"/>
    <n v="3"/>
    <n v="8"/>
    <s v="Sister Daae"/>
    <m/>
    <m/>
    <x v="0"/>
    <x v="0"/>
    <n v="100"/>
    <s v=""/>
    <n v="-100"/>
    <x v="1"/>
    <s v=""/>
    <n v="-200"/>
    <x v="0"/>
    <n v="200"/>
    <s v=""/>
    <n v="-200"/>
    <x v="0"/>
    <s v="Sat"/>
    <s v="Sister Daae"/>
  </r>
  <r>
    <x v="34"/>
    <d v="1899-12-30T13:03:00"/>
    <x v="4"/>
    <n v="3"/>
    <n v="8"/>
    <s v="Moon Sweeper"/>
    <s v="2nd"/>
    <m/>
    <x v="1"/>
    <x v="2"/>
    <n v="100"/>
    <s v=""/>
    <n v="-100"/>
    <x v="0"/>
    <s v=""/>
    <n v="-100"/>
    <x v="0"/>
    <n v="100"/>
    <s v=""/>
    <n v="-100"/>
    <x v="0"/>
    <s v="Sat"/>
    <s v="Moon Sweeper"/>
  </r>
  <r>
    <x v="34"/>
    <d v="1899-12-30T13:10:00"/>
    <x v="9"/>
    <n v="3"/>
    <n v="9"/>
    <s v="Stylish"/>
    <m/>
    <m/>
    <x v="0"/>
    <x v="1"/>
    <n v="100"/>
    <s v=""/>
    <n v="-100"/>
    <x v="0"/>
    <s v=""/>
    <n v="-100"/>
    <x v="0"/>
    <n v="100"/>
    <s v=""/>
    <n v="-100"/>
    <x v="0"/>
    <s v="Sat"/>
    <s v="Stylish"/>
  </r>
  <r>
    <x v="34"/>
    <d v="1899-12-30T13:10:00"/>
    <x v="9"/>
    <n v="3"/>
    <n v="6"/>
    <s v="Yoshinobu"/>
    <m/>
    <m/>
    <x v="0"/>
    <x v="1"/>
    <n v="100"/>
    <s v=""/>
    <n v="-100"/>
    <x v="4"/>
    <s v=""/>
    <n v="-50"/>
    <x v="0"/>
    <n v="50"/>
    <s v=""/>
    <n v="-50"/>
    <x v="0"/>
    <s v="Sat"/>
    <s v="Yoshinobu"/>
  </r>
  <r>
    <x v="34"/>
    <d v="1899-12-30T13:30:00"/>
    <x v="5"/>
    <n v="4"/>
    <n v="4"/>
    <s v="Captain Furai"/>
    <s v="3rd"/>
    <m/>
    <x v="0"/>
    <x v="0"/>
    <n v="100"/>
    <s v=""/>
    <n v="-100"/>
    <x v="3"/>
    <s v=""/>
    <n v="-150"/>
    <x v="0"/>
    <n v="150"/>
    <s v=""/>
    <n v="-150"/>
    <x v="0"/>
    <s v="Sat"/>
    <s v="Captain Furai"/>
  </r>
  <r>
    <x v="34"/>
    <d v="1899-12-30T13:45:00"/>
    <x v="9"/>
    <n v="4"/>
    <n v="14"/>
    <s v="Revelare"/>
    <s v="1st"/>
    <n v="3.6"/>
    <x v="0"/>
    <x v="1"/>
    <n v="100"/>
    <n v="360"/>
    <n v="260"/>
    <x v="1"/>
    <n v="720"/>
    <n v="520"/>
    <x v="0"/>
    <n v="200"/>
    <n v="720"/>
    <n v="520"/>
    <x v="0"/>
    <s v="Sat"/>
    <s v="Revelare"/>
  </r>
  <r>
    <x v="34"/>
    <d v="1899-12-30T14:05:00"/>
    <x v="5"/>
    <n v="5"/>
    <n v="11"/>
    <s v="Tazima"/>
    <s v="3rd"/>
    <m/>
    <x v="0"/>
    <x v="0"/>
    <n v="100"/>
    <s v=""/>
    <n v="-100"/>
    <x v="1"/>
    <s v=""/>
    <n v="-200"/>
    <x v="0"/>
    <n v="200"/>
    <s v=""/>
    <n v="-200"/>
    <x v="0"/>
    <s v="Sat"/>
    <s v="Tazima"/>
  </r>
  <r>
    <x v="34"/>
    <d v="1899-12-30T14:13:00"/>
    <x v="4"/>
    <n v="5"/>
    <n v="3"/>
    <s v="Free Carry"/>
    <m/>
    <m/>
    <x v="1"/>
    <x v="2"/>
    <n v="100"/>
    <s v=""/>
    <n v="-100"/>
    <x v="0"/>
    <s v=""/>
    <n v="-100"/>
    <x v="0"/>
    <n v="100"/>
    <s v=""/>
    <n v="-100"/>
    <x v="0"/>
    <s v="Sat"/>
    <s v="Free Carry"/>
  </r>
  <r>
    <x v="34"/>
    <d v="1899-12-30T14:20:00"/>
    <x v="9"/>
    <n v="5"/>
    <n v="19"/>
    <s v="Whisky On The Hill"/>
    <m/>
    <m/>
    <x v="1"/>
    <x v="1"/>
    <n v="100"/>
    <s v=""/>
    <n v="-100"/>
    <x v="0"/>
    <s v=""/>
    <n v="-100"/>
    <x v="0"/>
    <n v="100"/>
    <s v=""/>
    <n v="-100"/>
    <x v="0"/>
    <s v="Sat"/>
    <s v="Whisky On The Hill"/>
  </r>
  <r>
    <x v="34"/>
    <d v="1899-12-30T14:48:00"/>
    <x v="4"/>
    <n v="6"/>
    <n v="7"/>
    <s v="Give Giggles"/>
    <s v="1st"/>
    <n v="3.1"/>
    <x v="1"/>
    <x v="2"/>
    <n v="100"/>
    <n v="310"/>
    <n v="210"/>
    <x v="0"/>
    <n v="310"/>
    <n v="210"/>
    <x v="0"/>
    <n v="100"/>
    <n v="310"/>
    <n v="210"/>
    <x v="0"/>
    <s v="Sat"/>
    <s v="Give Giggles"/>
  </r>
  <r>
    <x v="34"/>
    <d v="1899-12-30T15:23:00"/>
    <x v="4"/>
    <n v="7"/>
    <n v="10"/>
    <s v="Bullion Boy"/>
    <s v="1st"/>
    <n v="2.7"/>
    <x v="1"/>
    <x v="2"/>
    <n v="100"/>
    <n v="270"/>
    <n v="170"/>
    <x v="0"/>
    <n v="270"/>
    <n v="170"/>
    <x v="0"/>
    <n v="100"/>
    <n v="270"/>
    <n v="170"/>
    <x v="0"/>
    <s v="Sat"/>
    <s v="Bullion Boy"/>
  </r>
  <r>
    <x v="34"/>
    <d v="1899-12-30T15:30:00"/>
    <x v="9"/>
    <n v="7"/>
    <n v="4"/>
    <s v="Mazu"/>
    <m/>
    <m/>
    <x v="0"/>
    <x v="1"/>
    <n v="100"/>
    <s v=""/>
    <n v="-100"/>
    <x v="3"/>
    <s v=""/>
    <n v="-150"/>
    <x v="0"/>
    <n v="150"/>
    <s v=""/>
    <n v="-150"/>
    <x v="0"/>
    <s v="Sat"/>
    <s v="Mazu"/>
  </r>
  <r>
    <x v="34"/>
    <d v="1899-12-30T15:30:00"/>
    <x v="9"/>
    <n v="7"/>
    <n v="12"/>
    <s v="Shes Bulletproof"/>
    <m/>
    <m/>
    <x v="1"/>
    <x v="1"/>
    <n v="100"/>
    <s v=""/>
    <n v="-100"/>
    <x v="0"/>
    <s v=""/>
    <n v="-100"/>
    <x v="0"/>
    <n v="100"/>
    <s v=""/>
    <n v="-100"/>
    <x v="0"/>
    <s v="Sat"/>
    <s v="Shes Bulletproof"/>
  </r>
  <r>
    <x v="34"/>
    <d v="1899-12-30T15:30:00"/>
    <x v="9"/>
    <n v="7"/>
    <n v="6"/>
    <s v="Zarastro"/>
    <m/>
    <m/>
    <x v="0"/>
    <x v="1"/>
    <n v="100"/>
    <s v=""/>
    <n v="-100"/>
    <x v="0"/>
    <s v=""/>
    <n v="-100"/>
    <x v="0"/>
    <n v="100"/>
    <s v=""/>
    <n v="-100"/>
    <x v="0"/>
    <s v="Sat"/>
    <s v="Zarastro"/>
  </r>
  <r>
    <x v="34"/>
    <d v="1899-12-30T16:02:00"/>
    <x v="4"/>
    <n v="8"/>
    <n v="13"/>
    <s v="Sultry Siren"/>
    <m/>
    <m/>
    <x v="1"/>
    <x v="2"/>
    <n v="100"/>
    <s v=""/>
    <n v="-100"/>
    <x v="0"/>
    <s v=""/>
    <n v="-100"/>
    <x v="0"/>
    <n v="100"/>
    <s v=""/>
    <n v="-100"/>
    <x v="0"/>
    <s v="Sat"/>
    <s v="Sultry Siren"/>
  </r>
  <r>
    <x v="34"/>
    <d v="1899-12-30T16:10:00"/>
    <x v="9"/>
    <n v="8"/>
    <n v="12"/>
    <s v="Miss Roumbini"/>
    <s v="2nd"/>
    <m/>
    <x v="1"/>
    <x v="1"/>
    <n v="100"/>
    <s v=""/>
    <n v="-100"/>
    <x v="0"/>
    <s v=""/>
    <n v="-100"/>
    <x v="0"/>
    <n v="100"/>
    <s v=""/>
    <n v="-100"/>
    <x v="0"/>
    <s v="Sat"/>
    <s v="Miss Roumbini"/>
  </r>
  <r>
    <x v="34"/>
    <d v="1899-12-30T16:45:00"/>
    <x v="9"/>
    <n v="9"/>
    <n v="6"/>
    <s v="Another Wil"/>
    <m/>
    <m/>
    <x v="0"/>
    <x v="1"/>
    <n v="100"/>
    <s v=""/>
    <n v="-100"/>
    <x v="7"/>
    <s v=""/>
    <n v="-130"/>
    <x v="1"/>
    <n v="165"/>
    <s v=""/>
    <n v="-165"/>
    <x v="0"/>
    <s v="Sat"/>
    <s v="Another Wil"/>
  </r>
  <r>
    <x v="34"/>
    <d v="1899-12-30T16:45:00"/>
    <x v="9"/>
    <n v="9"/>
    <n v="6"/>
    <s v="Another Wil"/>
    <m/>
    <m/>
    <x v="1"/>
    <x v="1"/>
    <n v="100"/>
    <s v=""/>
    <n v="-100"/>
    <x v="1"/>
    <s v=""/>
    <n v="-200"/>
    <x v="0"/>
    <s v=""/>
    <s v=""/>
    <s v=""/>
    <x v="0"/>
    <s v="Sat"/>
    <s v="Another Wil"/>
  </r>
  <r>
    <x v="34"/>
    <d v="1899-12-30T17:20:00"/>
    <x v="9"/>
    <n v="10"/>
    <n v="10"/>
    <s v="Sepals"/>
    <s v="1st"/>
    <n v="3.5"/>
    <x v="1"/>
    <x v="1"/>
    <n v="100"/>
    <n v="350"/>
    <n v="250"/>
    <x v="0"/>
    <n v="350"/>
    <n v="250"/>
    <x v="0"/>
    <n v="100"/>
    <n v="350"/>
    <n v="250"/>
    <x v="0"/>
    <s v="Sat"/>
    <s v="Sepals"/>
  </r>
  <r>
    <x v="35"/>
    <d v="1899-12-30T11:50:00"/>
    <x v="0"/>
    <n v="1"/>
    <n v="1"/>
    <s v="Denman Star"/>
    <s v="1st"/>
    <n v="2.9"/>
    <x v="0"/>
    <x v="0"/>
    <n v="100"/>
    <n v="290"/>
    <n v="190"/>
    <x v="6"/>
    <n v="406"/>
    <n v="266"/>
    <x v="0"/>
    <n v="140"/>
    <n v="406"/>
    <n v="266"/>
    <x v="0"/>
    <s v="Sat"/>
    <s v="Denman Star"/>
  </r>
  <r>
    <x v="35"/>
    <d v="1899-12-30T11:58:00"/>
    <x v="7"/>
    <n v="1"/>
    <n v="5"/>
    <s v="Northern Decree"/>
    <m/>
    <m/>
    <x v="1"/>
    <x v="2"/>
    <n v="100"/>
    <s v=""/>
    <n v="-100"/>
    <x v="0"/>
    <s v=""/>
    <n v="-100"/>
    <x v="0"/>
    <n v="100"/>
    <s v=""/>
    <n v="-100"/>
    <x v="0"/>
    <s v="Sat"/>
    <s v="Northern Decree"/>
  </r>
  <r>
    <x v="35"/>
    <d v="1899-12-30T12:33:00"/>
    <x v="7"/>
    <n v="2"/>
    <n v="7"/>
    <s v="Just Flying"/>
    <m/>
    <m/>
    <x v="1"/>
    <x v="2"/>
    <n v="100"/>
    <s v=""/>
    <n v="-100"/>
    <x v="0"/>
    <s v=""/>
    <n v="-100"/>
    <x v="0"/>
    <n v="100"/>
    <s v=""/>
    <n v="-100"/>
    <x v="0"/>
    <s v="Sat"/>
    <s v="Just Flying"/>
  </r>
  <r>
    <x v="35"/>
    <d v="1899-12-30T13:00:00"/>
    <x v="0"/>
    <n v="3"/>
    <n v="9"/>
    <s v="Chidiac"/>
    <s v="2nd"/>
    <m/>
    <x v="0"/>
    <x v="0"/>
    <n v="100"/>
    <s v=""/>
    <n v="-100"/>
    <x v="3"/>
    <s v=""/>
    <n v="-150"/>
    <x v="0"/>
    <n v="150"/>
    <s v=""/>
    <n v="-150"/>
    <x v="0"/>
    <s v="Sat"/>
    <s v="Chidiac"/>
  </r>
  <r>
    <x v="35"/>
    <d v="1899-12-30T13:08:00"/>
    <x v="7"/>
    <n v="3"/>
    <n v="2"/>
    <s v="Piggyback"/>
    <s v="1st"/>
    <n v="3.8"/>
    <x v="1"/>
    <x v="2"/>
    <n v="100"/>
    <n v="380"/>
    <n v="280"/>
    <x v="0"/>
    <n v="380"/>
    <n v="280"/>
    <x v="0"/>
    <n v="100"/>
    <n v="380"/>
    <n v="280"/>
    <x v="0"/>
    <s v="Sat"/>
    <s v="Piggyback"/>
  </r>
  <r>
    <x v="35"/>
    <d v="1899-12-30T13:15:00"/>
    <x v="10"/>
    <n v="3"/>
    <n v="4"/>
    <s v="The Creator"/>
    <s v="3rd"/>
    <m/>
    <x v="0"/>
    <x v="1"/>
    <n v="100"/>
    <s v=""/>
    <n v="-100"/>
    <x v="3"/>
    <s v=""/>
    <n v="-150"/>
    <x v="0"/>
    <n v="150"/>
    <s v=""/>
    <n v="-150"/>
    <x v="0"/>
    <s v="Sat"/>
    <s v="The Creator"/>
  </r>
  <r>
    <x v="35"/>
    <d v="1899-12-30T14:10:00"/>
    <x v="0"/>
    <n v="5"/>
    <n v="13"/>
    <s v="Shohisha"/>
    <s v="1st"/>
    <n v="3.9"/>
    <x v="0"/>
    <x v="0"/>
    <n v="100"/>
    <n v="390"/>
    <n v="290"/>
    <x v="3"/>
    <n v="585"/>
    <n v="435"/>
    <x v="0"/>
    <n v="150"/>
    <n v="585"/>
    <n v="435"/>
    <x v="0"/>
    <s v="Sat"/>
    <s v="Shohisha"/>
  </r>
  <r>
    <x v="35"/>
    <d v="1899-12-30T14:18:00"/>
    <x v="7"/>
    <n v="5"/>
    <n v="15"/>
    <s v="Kickatinalong"/>
    <m/>
    <m/>
    <x v="1"/>
    <x v="2"/>
    <n v="100"/>
    <s v=""/>
    <n v="-100"/>
    <x v="0"/>
    <s v=""/>
    <n v="-100"/>
    <x v="0"/>
    <n v="100"/>
    <s v=""/>
    <n v="-100"/>
    <x v="0"/>
    <s v="Sat"/>
    <s v="Kickatinalong"/>
  </r>
  <r>
    <x v="35"/>
    <d v="1899-12-30T15:28:00"/>
    <x v="7"/>
    <n v="7"/>
    <n v="8"/>
    <s v="Street Chase"/>
    <m/>
    <m/>
    <x v="1"/>
    <x v="2"/>
    <n v="100"/>
    <s v=""/>
    <n v="-100"/>
    <x v="0"/>
    <s v=""/>
    <n v="-100"/>
    <x v="0"/>
    <n v="100"/>
    <s v=""/>
    <n v="-100"/>
    <x v="0"/>
    <s v="Sat"/>
    <s v="Street Chase"/>
  </r>
  <r>
    <x v="35"/>
    <d v="1899-12-30T16:07:00"/>
    <x v="7"/>
    <n v="8"/>
    <n v="3"/>
    <s v="Weigall Tiger"/>
    <s v="1st"/>
    <n v="2.7"/>
    <x v="1"/>
    <x v="2"/>
    <n v="100"/>
    <n v="270"/>
    <n v="170"/>
    <x v="0"/>
    <n v="270"/>
    <n v="170"/>
    <x v="0"/>
    <n v="100"/>
    <n v="270"/>
    <n v="170"/>
    <x v="0"/>
    <s v="Sat"/>
    <s v="Weigall Tiger"/>
  </r>
  <r>
    <x v="35"/>
    <d v="1899-12-30T16:15:00"/>
    <x v="10"/>
    <n v="8"/>
    <n v="4"/>
    <s v="Desert Lightning"/>
    <s v="1st"/>
    <n v="2.4"/>
    <x v="0"/>
    <x v="1"/>
    <n v="100"/>
    <n v="240"/>
    <n v="140"/>
    <x v="1"/>
    <n v="480"/>
    <n v="280"/>
    <x v="1"/>
    <n v="200"/>
    <n v="480"/>
    <n v="280"/>
    <x v="0"/>
    <s v="Sat"/>
    <s v="Desert Lightning"/>
  </r>
  <r>
    <x v="35"/>
    <d v="1899-12-30T16:15:00"/>
    <x v="10"/>
    <n v="8"/>
    <n v="4"/>
    <s v="Desert Lightning"/>
    <s v="1st"/>
    <n v="2.4"/>
    <x v="1"/>
    <x v="1"/>
    <n v="100"/>
    <n v="240"/>
    <n v="140"/>
    <x v="1"/>
    <n v="480"/>
    <n v="280"/>
    <x v="0"/>
    <s v=""/>
    <s v=""/>
    <s v=""/>
    <x v="0"/>
    <s v="Sat"/>
    <s v="Desert Lightning"/>
  </r>
  <r>
    <x v="35"/>
    <d v="1899-12-30T16:43:00"/>
    <x v="7"/>
    <n v="9"/>
    <n v="5"/>
    <s v="About To Explode"/>
    <s v="1st"/>
    <n v="3.2"/>
    <x v="1"/>
    <x v="2"/>
    <n v="100"/>
    <n v="320"/>
    <n v="220"/>
    <x v="0"/>
    <n v="320"/>
    <n v="220"/>
    <x v="0"/>
    <n v="100"/>
    <n v="320"/>
    <n v="220"/>
    <x v="0"/>
    <s v="Sat"/>
    <s v="About To Explode"/>
  </r>
  <r>
    <x v="35"/>
    <d v="1899-12-30T16:50:00"/>
    <x v="10"/>
    <n v="9"/>
    <n v="7"/>
    <s v="Baraqiel"/>
    <s v="1st"/>
    <n v="6.5"/>
    <x v="0"/>
    <x v="1"/>
    <n v="100"/>
    <n v="650"/>
    <n v="550"/>
    <x v="5"/>
    <n v="1040"/>
    <n v="880"/>
    <x v="0"/>
    <n v="160"/>
    <n v="1040"/>
    <n v="880"/>
    <x v="0"/>
    <s v="Sat"/>
    <s v="Baraqiel"/>
  </r>
  <r>
    <x v="35"/>
    <d v="1899-12-30T16:50:00"/>
    <x v="10"/>
    <n v="9"/>
    <n v="16"/>
    <s v="Esha"/>
    <m/>
    <m/>
    <x v="0"/>
    <x v="1"/>
    <n v="100"/>
    <s v=""/>
    <n v="-100"/>
    <x v="3"/>
    <s v=""/>
    <n v="-150"/>
    <x v="0"/>
    <n v="150"/>
    <s v=""/>
    <n v="-150"/>
    <x v="0"/>
    <s v="Sat"/>
    <s v="Esha"/>
  </r>
  <r>
    <x v="35"/>
    <d v="1899-12-30T17:25:00"/>
    <x v="10"/>
    <n v="10"/>
    <n v="3"/>
    <s v="King Zephyr"/>
    <s v="3rd"/>
    <m/>
    <x v="1"/>
    <x v="1"/>
    <n v="100"/>
    <s v=""/>
    <n v="-100"/>
    <x v="1"/>
    <s v=""/>
    <n v="-200"/>
    <x v="0"/>
    <n v="200"/>
    <s v=""/>
    <n v="-200"/>
    <x v="0"/>
    <s v="Sat"/>
    <s v="King Zephyr"/>
  </r>
  <r>
    <x v="36"/>
    <d v="1899-12-30T11:58:00"/>
    <x v="7"/>
    <n v="1"/>
    <n v="3"/>
    <s v="Alectrona"/>
    <s v="2nd"/>
    <m/>
    <x v="1"/>
    <x v="2"/>
    <n v="100"/>
    <s v=""/>
    <n v="-100"/>
    <x v="0"/>
    <s v=""/>
    <n v="-100"/>
    <x v="0"/>
    <n v="100"/>
    <s v=""/>
    <n v="-100"/>
    <x v="0"/>
    <s v="Sat"/>
    <s v="Alectrona"/>
  </r>
  <r>
    <x v="36"/>
    <d v="1899-12-30T13:00:00"/>
    <x v="5"/>
    <n v="3"/>
    <n v="4"/>
    <s v="Tazima"/>
    <s v="3rd"/>
    <m/>
    <x v="1"/>
    <x v="0"/>
    <n v="100"/>
    <s v=""/>
    <n v="-100"/>
    <x v="3"/>
    <s v=""/>
    <n v="-150"/>
    <x v="0"/>
    <n v="150"/>
    <s v=""/>
    <n v="-150"/>
    <x v="0"/>
    <s v="Sat"/>
    <s v="Tazima"/>
  </r>
  <r>
    <x v="36"/>
    <d v="1899-12-30T13:35:00"/>
    <x v="5"/>
    <n v="4"/>
    <n v="10"/>
    <s v="The Years"/>
    <s v="3rd"/>
    <m/>
    <x v="0"/>
    <x v="0"/>
    <n v="100"/>
    <s v=""/>
    <n v="-100"/>
    <x v="0"/>
    <s v=""/>
    <n v="-100"/>
    <x v="0"/>
    <n v="100"/>
    <s v=""/>
    <n v="-100"/>
    <x v="0"/>
    <s v="Sat"/>
    <s v="The Years"/>
  </r>
  <r>
    <x v="36"/>
    <d v="1899-12-30T13:43:00"/>
    <x v="7"/>
    <n v="4"/>
    <n v="14"/>
    <s v="Shes Exotic"/>
    <m/>
    <m/>
    <x v="1"/>
    <x v="2"/>
    <n v="100"/>
    <s v=""/>
    <n v="-100"/>
    <x v="0"/>
    <s v=""/>
    <n v="-100"/>
    <x v="0"/>
    <n v="100"/>
    <s v=""/>
    <n v="-100"/>
    <x v="0"/>
    <s v="Sat"/>
    <s v="Shes Exotic"/>
  </r>
  <r>
    <x v="36"/>
    <d v="1899-12-30T14:15:00"/>
    <x v="5"/>
    <n v="5"/>
    <n v="9"/>
    <s v="Catch The Glory"/>
    <s v="2nd"/>
    <m/>
    <x v="1"/>
    <x v="0"/>
    <n v="100"/>
    <s v=""/>
    <n v="-100"/>
    <x v="3"/>
    <s v=""/>
    <n v="-150"/>
    <x v="0"/>
    <n v="150"/>
    <s v=""/>
    <n v="-150"/>
    <x v="0"/>
    <s v="Sat"/>
    <s v="Catch The Glory"/>
  </r>
  <r>
    <x v="36"/>
    <d v="1899-12-30T14:15:00"/>
    <x v="5"/>
    <n v="5"/>
    <n v="5"/>
    <s v="Kerguelen"/>
    <s v="3rd"/>
    <m/>
    <x v="0"/>
    <x v="0"/>
    <n v="100"/>
    <s v=""/>
    <n v="-100"/>
    <x v="3"/>
    <s v=""/>
    <n v="-150"/>
    <x v="0"/>
    <n v="150"/>
    <s v=""/>
    <n v="-150"/>
    <x v="0"/>
    <s v="Sat"/>
    <s v="Kerguelen"/>
  </r>
  <r>
    <x v="36"/>
    <d v="1899-12-30T14:23:00"/>
    <x v="7"/>
    <n v="5"/>
    <n v="12"/>
    <s v="Ouroboros"/>
    <s v="2nd"/>
    <m/>
    <x v="1"/>
    <x v="2"/>
    <n v="100"/>
    <s v=""/>
    <n v="-100"/>
    <x v="0"/>
    <s v=""/>
    <n v="-100"/>
    <x v="0"/>
    <n v="100"/>
    <s v=""/>
    <n v="-100"/>
    <x v="0"/>
    <s v="Sat"/>
    <s v="Ouroboros"/>
  </r>
  <r>
    <x v="36"/>
    <d v="1899-12-30T14:30:00"/>
    <x v="2"/>
    <n v="5"/>
    <n v="6"/>
    <s v="Pop Award"/>
    <m/>
    <m/>
    <x v="1"/>
    <x v="1"/>
    <n v="100"/>
    <s v=""/>
    <n v="-100"/>
    <x v="1"/>
    <s v=""/>
    <n v="-200"/>
    <x v="0"/>
    <n v="200"/>
    <s v=""/>
    <n v="-200"/>
    <x v="0"/>
    <s v="Sat"/>
    <s v="Pop Award"/>
  </r>
  <r>
    <x v="36"/>
    <d v="1899-12-30T14:30:00"/>
    <x v="2"/>
    <n v="5"/>
    <n v="12"/>
    <s v="Wonder Boy"/>
    <m/>
    <m/>
    <x v="0"/>
    <x v="1"/>
    <n v="100"/>
    <s v=""/>
    <n v="-100"/>
    <x v="4"/>
    <s v=""/>
    <n v="-50"/>
    <x v="0"/>
    <n v="50"/>
    <s v=""/>
    <n v="-50"/>
    <x v="0"/>
    <s v="Sat"/>
    <s v="Wonder Boy"/>
  </r>
  <r>
    <x v="36"/>
    <d v="1899-12-30T14:58:00"/>
    <x v="7"/>
    <n v="6"/>
    <n v="5"/>
    <s v="Pannier"/>
    <m/>
    <m/>
    <x v="1"/>
    <x v="2"/>
    <n v="100"/>
    <s v=""/>
    <n v="-100"/>
    <x v="0"/>
    <s v=""/>
    <n v="-100"/>
    <x v="0"/>
    <n v="100"/>
    <s v=""/>
    <n v="-100"/>
    <x v="0"/>
    <s v="Sat"/>
    <s v="Pannier"/>
  </r>
  <r>
    <x v="36"/>
    <d v="1899-12-30T15:05:00"/>
    <x v="2"/>
    <n v="6"/>
    <n v="10"/>
    <s v="Media World"/>
    <s v="3rd"/>
    <m/>
    <x v="1"/>
    <x v="1"/>
    <n v="100"/>
    <s v=""/>
    <n v="-100"/>
    <x v="1"/>
    <s v=""/>
    <n v="-200"/>
    <x v="0"/>
    <n v="200"/>
    <s v=""/>
    <n v="-200"/>
    <x v="0"/>
    <s v="Sat"/>
    <s v="Media World"/>
  </r>
  <r>
    <x v="36"/>
    <d v="1899-12-30T15:33:00"/>
    <x v="7"/>
    <n v="7"/>
    <n v="8"/>
    <s v="Party For Two"/>
    <s v="1st"/>
    <n v="2.7"/>
    <x v="1"/>
    <x v="2"/>
    <n v="100"/>
    <n v="270"/>
    <n v="170"/>
    <x v="0"/>
    <n v="270"/>
    <n v="170"/>
    <x v="0"/>
    <n v="100"/>
    <n v="270"/>
    <n v="170"/>
    <x v="0"/>
    <s v="Sat"/>
    <s v="Party For Two"/>
  </r>
  <r>
    <x v="36"/>
    <d v="1899-12-30T15:40:00"/>
    <x v="2"/>
    <n v="7"/>
    <n v="6"/>
    <s v="Jennivamoose"/>
    <m/>
    <m/>
    <x v="1"/>
    <x v="1"/>
    <n v="100"/>
    <s v=""/>
    <n v="-100"/>
    <x v="0"/>
    <s v=""/>
    <n v="-100"/>
    <x v="0"/>
    <n v="100"/>
    <s v=""/>
    <n v="-100"/>
    <x v="0"/>
    <s v="Sat"/>
    <s v="Jennivamoose"/>
  </r>
  <r>
    <x v="36"/>
    <d v="1899-12-30T15:40:00"/>
    <x v="2"/>
    <n v="7"/>
    <n v="7"/>
    <s v="Mormona"/>
    <s v="2nd"/>
    <m/>
    <x v="0"/>
    <x v="1"/>
    <n v="100"/>
    <s v=""/>
    <n v="-100"/>
    <x v="4"/>
    <s v=""/>
    <n v="-50"/>
    <x v="0"/>
    <n v="50"/>
    <s v=""/>
    <n v="-50"/>
    <x v="0"/>
    <s v="Sat"/>
    <s v="Mormona"/>
  </r>
  <r>
    <x v="36"/>
    <d v="1899-12-30T15:40:00"/>
    <x v="2"/>
    <n v="7"/>
    <n v="4"/>
    <s v="Revelare"/>
    <s v="1st"/>
    <n v="3.2"/>
    <x v="0"/>
    <x v="1"/>
    <n v="100"/>
    <n v="320"/>
    <n v="220"/>
    <x v="0"/>
    <n v="320"/>
    <n v="220"/>
    <x v="0"/>
    <n v="100"/>
    <n v="320"/>
    <n v="220"/>
    <x v="0"/>
    <s v="Sat"/>
    <s v="Revelare"/>
  </r>
  <r>
    <x v="36"/>
    <d v="1899-12-30T16:12:00"/>
    <x v="7"/>
    <n v="8"/>
    <n v="6"/>
    <s v="Bullion Boy"/>
    <s v="3rd"/>
    <m/>
    <x v="1"/>
    <x v="2"/>
    <n v="100"/>
    <s v=""/>
    <n v="-100"/>
    <x v="0"/>
    <s v=""/>
    <n v="-100"/>
    <x v="0"/>
    <n v="100"/>
    <s v=""/>
    <n v="-100"/>
    <x v="0"/>
    <s v="Sat"/>
    <s v="Bullion Boy"/>
  </r>
  <r>
    <x v="36"/>
    <d v="1899-12-30T16:20:00"/>
    <x v="2"/>
    <n v="8"/>
    <n v="1"/>
    <s v="Mr Brightside"/>
    <s v="1st"/>
    <n v="5"/>
    <x v="0"/>
    <x v="1"/>
    <n v="100"/>
    <n v="500"/>
    <n v="400"/>
    <x v="3"/>
    <n v="750"/>
    <n v="600"/>
    <x v="0"/>
    <n v="150"/>
    <n v="750"/>
    <n v="600"/>
    <x v="0"/>
    <s v="Sat"/>
    <s v="Mr Brightside"/>
  </r>
  <r>
    <x v="36"/>
    <d v="1899-12-30T16:20:00"/>
    <x v="2"/>
    <n v="8"/>
    <n v="5"/>
    <s v="Via Sistina"/>
    <s v="3rd"/>
    <m/>
    <x v="1"/>
    <x v="1"/>
    <n v="100"/>
    <s v=""/>
    <n v="-100"/>
    <x v="1"/>
    <s v=""/>
    <n v="-200"/>
    <x v="0"/>
    <n v="200"/>
    <s v=""/>
    <n v="-200"/>
    <x v="0"/>
    <s v="Sat"/>
    <s v="Via Sistina"/>
  </r>
  <r>
    <x v="36"/>
    <d v="1899-12-30T16:48:00"/>
    <x v="7"/>
    <n v="9"/>
    <n v="1"/>
    <s v="Free Carry"/>
    <s v="2nd"/>
    <m/>
    <x v="1"/>
    <x v="2"/>
    <n v="100"/>
    <s v=""/>
    <n v="-100"/>
    <x v="0"/>
    <s v=""/>
    <n v="-100"/>
    <x v="0"/>
    <n v="100"/>
    <s v=""/>
    <n v="-100"/>
    <x v="0"/>
    <s v="Sat"/>
    <s v="Free Carry"/>
  </r>
  <r>
    <x v="36"/>
    <d v="1899-12-30T16:55:00"/>
    <x v="2"/>
    <n v="9"/>
    <n v="3"/>
    <s v="Lazzura"/>
    <s v="1st"/>
    <n v="2.5"/>
    <x v="0"/>
    <x v="1"/>
    <n v="100"/>
    <n v="250"/>
    <n v="150"/>
    <x v="1"/>
    <n v="500"/>
    <n v="300"/>
    <x v="1"/>
    <n v="150"/>
    <n v="375"/>
    <n v="225"/>
    <x v="0"/>
    <s v="Sat"/>
    <s v="Lazzura"/>
  </r>
  <r>
    <x v="36"/>
    <d v="1899-12-30T16:55:00"/>
    <x v="2"/>
    <n v="9"/>
    <n v="3"/>
    <s v="Lazzura"/>
    <s v="1st"/>
    <n v="2.5"/>
    <x v="1"/>
    <x v="1"/>
    <n v="100"/>
    <n v="250"/>
    <n v="150"/>
    <x v="0"/>
    <n v="250"/>
    <n v="150"/>
    <x v="0"/>
    <s v=""/>
    <s v=""/>
    <s v=""/>
    <x v="0"/>
    <s v="Sat"/>
    <s v="Lazzura"/>
  </r>
  <r>
    <x v="36"/>
    <d v="1899-12-30T17:15:00"/>
    <x v="5"/>
    <n v="10"/>
    <n v="5"/>
    <s v="Captain Furai"/>
    <s v="2nd"/>
    <m/>
    <x v="0"/>
    <x v="0"/>
    <n v="100"/>
    <s v=""/>
    <n v="-100"/>
    <x v="6"/>
    <s v=""/>
    <n v="-140"/>
    <x v="1"/>
    <n v="145"/>
    <s v=""/>
    <n v="-145"/>
    <x v="0"/>
    <s v="Sat"/>
    <s v="Captain Furai"/>
  </r>
  <r>
    <x v="36"/>
    <d v="1899-12-30T17:15:00"/>
    <x v="5"/>
    <n v="10"/>
    <n v="5"/>
    <s v="Captain Furai"/>
    <s v="2nd"/>
    <m/>
    <x v="1"/>
    <x v="0"/>
    <n v="100"/>
    <s v=""/>
    <n v="-100"/>
    <x v="3"/>
    <s v=""/>
    <n v="-150"/>
    <x v="0"/>
    <s v=""/>
    <s v=""/>
    <s v=""/>
    <x v="0"/>
    <s v="Sat"/>
    <s v="Captain Furai"/>
  </r>
  <r>
    <x v="37"/>
    <d v="1899-12-30T12:10:00"/>
    <x v="9"/>
    <n v="1"/>
    <n v="5"/>
    <s v="Prince Eric"/>
    <m/>
    <m/>
    <x v="1"/>
    <x v="1"/>
    <n v="100"/>
    <s v=""/>
    <n v="-100"/>
    <x v="0"/>
    <s v=""/>
    <n v="-100"/>
    <x v="0"/>
    <n v="100"/>
    <s v=""/>
    <n v="-100"/>
    <x v="0"/>
    <s v="Sat"/>
    <s v="Prince Eric"/>
  </r>
  <r>
    <x v="37"/>
    <d v="1899-12-30T12:40:00"/>
    <x v="9"/>
    <n v="2"/>
    <n v="7"/>
    <s v="Eagle Express"/>
    <s v="3rd"/>
    <m/>
    <x v="1"/>
    <x v="1"/>
    <n v="100"/>
    <s v=""/>
    <n v="-100"/>
    <x v="0"/>
    <s v=""/>
    <n v="-100"/>
    <x v="0"/>
    <n v="100"/>
    <s v=""/>
    <n v="-100"/>
    <x v="0"/>
    <s v="Sat"/>
    <s v="Eagle Express"/>
  </r>
  <r>
    <x v="37"/>
    <d v="1899-12-30T13:00:00"/>
    <x v="0"/>
    <n v="3"/>
    <n v="6"/>
    <s v="Midnight Opal"/>
    <m/>
    <m/>
    <x v="0"/>
    <x v="0"/>
    <n v="100"/>
    <s v=""/>
    <n v="-100"/>
    <x v="0"/>
    <s v=""/>
    <n v="-100"/>
    <x v="0"/>
    <n v="100"/>
    <s v=""/>
    <n v="-100"/>
    <x v="0"/>
    <s v="Sat"/>
    <s v="Midnight Opal"/>
  </r>
  <r>
    <x v="37"/>
    <d v="1899-12-30T13:15:00"/>
    <x v="9"/>
    <n v="3"/>
    <n v="10"/>
    <s v="Lovelycut"/>
    <m/>
    <m/>
    <x v="0"/>
    <x v="1"/>
    <n v="100"/>
    <s v=""/>
    <n v="-100"/>
    <x v="0"/>
    <s v=""/>
    <n v="-100"/>
    <x v="0"/>
    <n v="100"/>
    <s v=""/>
    <n v="-100"/>
    <x v="0"/>
    <s v="Sat"/>
    <s v="Lovelycut"/>
  </r>
  <r>
    <x v="37"/>
    <d v="1899-12-30T13:15:00"/>
    <x v="9"/>
    <n v="3"/>
    <n v="3"/>
    <s v="She'S Got Pizzazz"/>
    <m/>
    <m/>
    <x v="0"/>
    <x v="1"/>
    <n v="100"/>
    <s v=""/>
    <n v="-100"/>
    <x v="4"/>
    <s v=""/>
    <n v="-50"/>
    <x v="0"/>
    <n v="50"/>
    <s v=""/>
    <n v="-50"/>
    <x v="0"/>
    <s v="Sat"/>
    <s v="She'S Got Pizzazz"/>
  </r>
  <r>
    <x v="37"/>
    <d v="1899-12-30T13:35:00"/>
    <x v="0"/>
    <n v="4"/>
    <n v="12"/>
    <s v="Idle Flyer"/>
    <s v="1st"/>
    <n v="4.5999999999999996"/>
    <x v="0"/>
    <x v="0"/>
    <n v="100"/>
    <n v="459.99999999999994"/>
    <n v="359.99999999999994"/>
    <x v="3"/>
    <n v="690"/>
    <n v="540"/>
    <x v="0"/>
    <n v="150"/>
    <n v="690"/>
    <n v="540"/>
    <x v="0"/>
    <s v="Sat"/>
    <s v="Idle Flyer"/>
  </r>
  <r>
    <x v="37"/>
    <d v="1899-12-30T14:15:00"/>
    <x v="0"/>
    <n v="5"/>
    <n v="3"/>
    <s v="Vauban"/>
    <m/>
    <m/>
    <x v="0"/>
    <x v="0"/>
    <n v="100"/>
    <s v=""/>
    <n v="-100"/>
    <x v="3"/>
    <s v=""/>
    <n v="-150"/>
    <x v="0"/>
    <n v="150"/>
    <s v=""/>
    <n v="-150"/>
    <x v="0"/>
    <s v="Sat"/>
    <s v="Vauban"/>
  </r>
  <r>
    <x v="37"/>
    <d v="1899-12-30T14:50:00"/>
    <x v="0"/>
    <n v="6"/>
    <n v="2"/>
    <s v="Tupakara"/>
    <s v="3rd"/>
    <m/>
    <x v="1"/>
    <x v="0"/>
    <n v="100"/>
    <s v=""/>
    <n v="-100"/>
    <x v="3"/>
    <s v=""/>
    <n v="-150"/>
    <x v="0"/>
    <n v="150"/>
    <s v=""/>
    <n v="-150"/>
    <x v="0"/>
    <s v="Sat"/>
    <s v="Tupakara"/>
  </r>
  <r>
    <x v="37"/>
    <d v="1899-12-30T15:40:00"/>
    <x v="9"/>
    <n v="7"/>
    <n v="2"/>
    <s v="Buckaroo"/>
    <s v="2nd"/>
    <m/>
    <x v="0"/>
    <x v="1"/>
    <n v="100"/>
    <s v=""/>
    <n v="-100"/>
    <x v="3"/>
    <s v=""/>
    <n v="-150"/>
    <x v="0"/>
    <n v="150"/>
    <s v=""/>
    <n v="-150"/>
    <x v="0"/>
    <s v="Sat"/>
    <s v="Buckaroo"/>
  </r>
  <r>
    <x v="37"/>
    <d v="1899-12-30T15:40:00"/>
    <x v="9"/>
    <n v="7"/>
    <n v="9"/>
    <s v="Sir Delius"/>
    <s v="1st"/>
    <n v="2.2000000000000002"/>
    <x v="0"/>
    <x v="1"/>
    <n v="100"/>
    <n v="220.00000000000003"/>
    <n v="120.00000000000003"/>
    <x v="7"/>
    <n v="286"/>
    <n v="156"/>
    <x v="1"/>
    <n v="165"/>
    <n v="363.00000000000006"/>
    <n v="198.00000000000006"/>
    <x v="0"/>
    <s v="Sat"/>
    <s v="Sir Delius"/>
  </r>
  <r>
    <x v="37"/>
    <d v="1899-12-30T15:40:00"/>
    <x v="9"/>
    <n v="7"/>
    <n v="9"/>
    <s v="Sir Delius"/>
    <s v="1st"/>
    <n v="2.2000000000000002"/>
    <x v="1"/>
    <x v="1"/>
    <n v="100"/>
    <n v="220.00000000000003"/>
    <n v="120.00000000000003"/>
    <x v="1"/>
    <n v="440.00000000000006"/>
    <n v="240.00000000000006"/>
    <x v="0"/>
    <s v=""/>
    <s v=""/>
    <s v=""/>
    <x v="0"/>
    <s v="Sat"/>
    <s v="Sir Delius"/>
  </r>
  <r>
    <x v="37"/>
    <d v="1899-12-30T16:00:00"/>
    <x v="0"/>
    <n v="8"/>
    <n v="11"/>
    <s v="Fangirl"/>
    <s v="1st"/>
    <n v="2.0499999999999998"/>
    <x v="0"/>
    <x v="0"/>
    <n v="100"/>
    <n v="204.99999999999997"/>
    <n v="104.99999999999997"/>
    <x v="1"/>
    <n v="409.99999999999994"/>
    <n v="209.99999999999994"/>
    <x v="1"/>
    <n v="175"/>
    <n v="358.74999999999994"/>
    <n v="183.74999999999994"/>
    <x v="0"/>
    <s v="Sat"/>
    <s v="Fangirl"/>
  </r>
  <r>
    <x v="37"/>
    <d v="1899-12-30T16:00:00"/>
    <x v="0"/>
    <n v="8"/>
    <n v="11"/>
    <s v="Fangirl"/>
    <s v="1st"/>
    <n v="2.0499999999999998"/>
    <x v="1"/>
    <x v="0"/>
    <n v="100"/>
    <n v="204.99999999999997"/>
    <n v="104.99999999999997"/>
    <x v="3"/>
    <n v="307.5"/>
    <n v="157.5"/>
    <x v="0"/>
    <s v=""/>
    <s v=""/>
    <s v=""/>
    <x v="0"/>
    <s v="Sat"/>
    <s v="Fangirl"/>
  </r>
  <r>
    <x v="37"/>
    <d v="1899-12-30T16:20:00"/>
    <x v="9"/>
    <n v="8"/>
    <n v="9"/>
    <s v="Angel Capital"/>
    <m/>
    <m/>
    <x v="0"/>
    <x v="1"/>
    <n v="100"/>
    <s v=""/>
    <n v="-100"/>
    <x v="3"/>
    <s v=""/>
    <n v="-150"/>
    <x v="0"/>
    <n v="150"/>
    <s v=""/>
    <n v="-150"/>
    <x v="0"/>
    <s v="Sat"/>
    <s v="Angel Capital"/>
  </r>
  <r>
    <x v="37"/>
    <d v="1899-12-30T16:20:00"/>
    <x v="9"/>
    <n v="8"/>
    <n v="16"/>
    <s v="Sepals"/>
    <s v="1st"/>
    <n v="3.9"/>
    <x v="1"/>
    <x v="1"/>
    <n v="100"/>
    <n v="390"/>
    <n v="290"/>
    <x v="0"/>
    <n v="390"/>
    <n v="290"/>
    <x v="0"/>
    <n v="100"/>
    <n v="390"/>
    <n v="290"/>
    <x v="0"/>
    <s v="Sat"/>
    <s v="Sepals"/>
  </r>
  <r>
    <x v="37"/>
    <d v="1899-12-30T17:25:00"/>
    <x v="9"/>
    <n v="10"/>
    <n v="10"/>
    <s v="Mr Verse"/>
    <m/>
    <m/>
    <x v="0"/>
    <x v="1"/>
    <n v="100"/>
    <s v=""/>
    <n v="-100"/>
    <x v="3"/>
    <s v=""/>
    <n v="-150"/>
    <x v="0"/>
    <n v="150"/>
    <s v=""/>
    <n v="-150"/>
    <x v="0"/>
    <s v="Sat"/>
    <s v="Mr Verse"/>
  </r>
  <r>
    <x v="38"/>
    <d v="1899-12-30T18:15:00"/>
    <x v="10"/>
    <n v="1"/>
    <n v="8"/>
    <s v="Charcoals"/>
    <s v="1st"/>
    <n v="11"/>
    <x v="0"/>
    <x v="1"/>
    <n v="100"/>
    <n v="1100"/>
    <n v="1000"/>
    <x v="0"/>
    <n v="1100"/>
    <n v="1000"/>
    <x v="1"/>
    <n v="100"/>
    <n v="1100"/>
    <n v="1000"/>
    <x v="1"/>
    <s v="Fri"/>
    <s v="Charcoals"/>
  </r>
  <r>
    <x v="38"/>
    <d v="1899-12-30T18:15:00"/>
    <x v="10"/>
    <n v="1"/>
    <n v="8"/>
    <s v="Charcoals"/>
    <s v="1st"/>
    <n v="11"/>
    <x v="1"/>
    <x v="1"/>
    <n v="100"/>
    <n v="1100"/>
    <n v="1000"/>
    <x v="0"/>
    <n v="1100"/>
    <n v="1000"/>
    <x v="0"/>
    <s v=""/>
    <s v=""/>
    <s v=""/>
    <x v="1"/>
    <s v="Fri"/>
    <s v="Charcoals"/>
  </r>
  <r>
    <x v="38"/>
    <d v="1899-12-30T20:45:00"/>
    <x v="10"/>
    <n v="6"/>
    <n v="6"/>
    <s v="Treasurethe Moment"/>
    <s v="2nd"/>
    <m/>
    <x v="0"/>
    <x v="1"/>
    <n v="100"/>
    <s v=""/>
    <n v="-100"/>
    <x v="2"/>
    <s v=""/>
    <n v="-120"/>
    <x v="0"/>
    <n v="120"/>
    <s v=""/>
    <n v="-120"/>
    <x v="1"/>
    <s v="Fri"/>
    <s v="Treasurethe Moment"/>
  </r>
  <r>
    <x v="38"/>
    <d v="1899-12-30T21:45:00"/>
    <x v="10"/>
    <n v="8"/>
    <n v="7"/>
    <s v="Oh Too Good"/>
    <m/>
    <m/>
    <x v="0"/>
    <x v="1"/>
    <n v="100"/>
    <s v=""/>
    <n v="-100"/>
    <x v="1"/>
    <s v=""/>
    <n v="-200"/>
    <x v="1"/>
    <n v="200"/>
    <s v=""/>
    <n v="-200"/>
    <x v="1"/>
    <s v="Fri"/>
    <s v="Oh Too Good"/>
  </r>
  <r>
    <x v="38"/>
    <d v="1899-12-30T21:45:00"/>
    <x v="10"/>
    <n v="8"/>
    <n v="7"/>
    <s v="Oh Too Good"/>
    <m/>
    <m/>
    <x v="1"/>
    <x v="1"/>
    <n v="100"/>
    <s v=""/>
    <n v="-100"/>
    <x v="1"/>
    <s v=""/>
    <n v="-200"/>
    <x v="0"/>
    <s v=""/>
    <s v=""/>
    <s v=""/>
    <x v="1"/>
    <s v="Fri"/>
    <s v="Oh Too Good"/>
  </r>
  <r>
    <x v="39"/>
    <d v="1899-12-30T11:55:00"/>
    <x v="5"/>
    <n v="1"/>
    <n v="1"/>
    <s v="Alabama State"/>
    <s v="2nd"/>
    <m/>
    <x v="0"/>
    <x v="0"/>
    <n v="100"/>
    <s v=""/>
    <n v="-100"/>
    <x v="3"/>
    <s v=""/>
    <n v="-150"/>
    <x v="0"/>
    <n v="150"/>
    <s v=""/>
    <n v="-150"/>
    <x v="1"/>
    <s v="Sat"/>
    <s v="Alabama State"/>
  </r>
  <r>
    <x v="39"/>
    <d v="1899-12-30T12:45:00"/>
    <x v="8"/>
    <n v="2"/>
    <n v="8"/>
    <s v="Makdane"/>
    <s v="3rd"/>
    <m/>
    <x v="0"/>
    <x v="1"/>
    <n v="100"/>
    <s v=""/>
    <n v="-100"/>
    <x v="3"/>
    <s v=""/>
    <n v="-150"/>
    <x v="1"/>
    <n v="150"/>
    <s v=""/>
    <n v="-150"/>
    <x v="1"/>
    <s v="Sat"/>
    <s v="Makdane"/>
  </r>
  <r>
    <x v="39"/>
    <d v="1899-12-30T12:45:00"/>
    <x v="8"/>
    <n v="2"/>
    <n v="8"/>
    <s v="Makdane"/>
    <s v="3rd"/>
    <m/>
    <x v="1"/>
    <x v="1"/>
    <n v="100"/>
    <s v=""/>
    <n v="-100"/>
    <x v="3"/>
    <s v=""/>
    <n v="-150"/>
    <x v="0"/>
    <s v=""/>
    <s v=""/>
    <s v=""/>
    <x v="1"/>
    <s v="Sat"/>
    <s v="Makdane"/>
  </r>
  <r>
    <x v="39"/>
    <d v="1899-12-30T13:05:00"/>
    <x v="5"/>
    <n v="3"/>
    <n v="7"/>
    <s v="Juja Kibo"/>
    <s v="2nd"/>
    <m/>
    <x v="1"/>
    <x v="0"/>
    <n v="100"/>
    <s v=""/>
    <n v="-100"/>
    <x v="3"/>
    <s v=""/>
    <n v="-150"/>
    <x v="0"/>
    <n v="150"/>
    <s v=""/>
    <n v="-150"/>
    <x v="1"/>
    <s v="Sat"/>
    <s v="Juja Kibo"/>
  </r>
  <r>
    <x v="39"/>
    <d v="1899-12-30T13:05:00"/>
    <x v="5"/>
    <n v="3"/>
    <n v="8"/>
    <s v="Piggyback"/>
    <s v="1st"/>
    <n v="6"/>
    <x v="0"/>
    <x v="0"/>
    <n v="100"/>
    <n v="600"/>
    <n v="500"/>
    <x v="3"/>
    <n v="900"/>
    <n v="750"/>
    <x v="0"/>
    <n v="150"/>
    <n v="900"/>
    <n v="750"/>
    <x v="1"/>
    <s v="Sat"/>
    <s v="Piggyback"/>
  </r>
  <r>
    <x v="39"/>
    <d v="1899-12-30T13:55:00"/>
    <x v="8"/>
    <n v="4"/>
    <n v="1"/>
    <s v="King Zephyr"/>
    <s v="1st"/>
    <n v="2.0499999999999998"/>
    <x v="0"/>
    <x v="1"/>
    <n v="100"/>
    <n v="204.99999999999997"/>
    <n v="104.99999999999997"/>
    <x v="1"/>
    <n v="409.99999999999994"/>
    <n v="209.99999999999994"/>
    <x v="1"/>
    <n v="150"/>
    <n v="307.5"/>
    <n v="157.5"/>
    <x v="1"/>
    <s v="Sat"/>
    <s v="King Zephyr"/>
  </r>
  <r>
    <x v="39"/>
    <d v="1899-12-30T13:55:00"/>
    <x v="8"/>
    <n v="4"/>
    <n v="1"/>
    <s v="King Zephyr"/>
    <s v="1st"/>
    <n v="2.0499999999999998"/>
    <x v="1"/>
    <x v="1"/>
    <n v="100"/>
    <n v="204.99999999999997"/>
    <n v="104.99999999999997"/>
    <x v="0"/>
    <n v="204.99999999999997"/>
    <n v="104.99999999999997"/>
    <x v="0"/>
    <s v=""/>
    <s v=""/>
    <s v=""/>
    <x v="1"/>
    <s v="Sat"/>
    <s v="King Zephyr"/>
  </r>
  <r>
    <x v="39"/>
    <d v="1899-12-30T14:15:00"/>
    <x v="5"/>
    <n v="5"/>
    <n v="3"/>
    <s v="Lord Of Biscay"/>
    <m/>
    <m/>
    <x v="0"/>
    <x v="0"/>
    <n v="100"/>
    <s v=""/>
    <n v="-100"/>
    <x v="3"/>
    <s v=""/>
    <n v="-150"/>
    <x v="0"/>
    <n v="150"/>
    <s v=""/>
    <n v="-150"/>
    <x v="1"/>
    <s v="Sat"/>
    <s v="Lord Of Biscay"/>
  </r>
  <r>
    <x v="39"/>
    <d v="1899-12-30T15:45:00"/>
    <x v="8"/>
    <n v="7"/>
    <n v="1"/>
    <s v="Evaporate"/>
    <s v="1st"/>
    <n v="3.9"/>
    <x v="0"/>
    <x v="1"/>
    <n v="100"/>
    <n v="390"/>
    <n v="290"/>
    <x v="5"/>
    <n v="624"/>
    <n v="464"/>
    <x v="0"/>
    <n v="160"/>
    <n v="624"/>
    <n v="464"/>
    <x v="1"/>
    <s v="Sat"/>
    <s v="Evaporate"/>
  </r>
  <r>
    <x v="39"/>
    <d v="1899-12-30T15:45:00"/>
    <x v="8"/>
    <n v="7"/>
    <n v="3"/>
    <s v="Transatlantic"/>
    <s v="2nd"/>
    <m/>
    <x v="0"/>
    <x v="1"/>
    <n v="100"/>
    <s v=""/>
    <n v="-100"/>
    <x v="3"/>
    <s v=""/>
    <n v="-150"/>
    <x v="1"/>
    <n v="150"/>
    <s v=""/>
    <n v="-150"/>
    <x v="1"/>
    <s v="Sat"/>
    <s v="Transatlantic"/>
  </r>
  <r>
    <x v="39"/>
    <d v="1899-12-30T15:45:00"/>
    <x v="8"/>
    <n v="7"/>
    <n v="3"/>
    <s v="Transatlantic"/>
    <s v="2nd"/>
    <m/>
    <x v="1"/>
    <x v="1"/>
    <n v="100"/>
    <s v=""/>
    <n v="-100"/>
    <x v="3"/>
    <s v=""/>
    <n v="-150"/>
    <x v="0"/>
    <s v=""/>
    <s v=""/>
    <s v=""/>
    <x v="1"/>
    <s v="Sat"/>
    <s v="Transatlantic"/>
  </r>
  <r>
    <x v="39"/>
    <d v="1899-12-30T16:05:00"/>
    <x v="5"/>
    <n v="8"/>
    <n v="9"/>
    <s v="Tempted"/>
    <s v="3rd"/>
    <m/>
    <x v="1"/>
    <x v="0"/>
    <n v="100"/>
    <s v=""/>
    <n v="-100"/>
    <x v="3"/>
    <s v=""/>
    <n v="-150"/>
    <x v="0"/>
    <n v="150"/>
    <s v=""/>
    <n v="-150"/>
    <x v="1"/>
    <s v="Sat"/>
    <s v="Tempted"/>
  </r>
  <r>
    <x v="39"/>
    <d v="1899-12-30T16:25:00"/>
    <x v="8"/>
    <n v="8"/>
    <n v="11"/>
    <s v="Hard To Cross"/>
    <m/>
    <m/>
    <x v="0"/>
    <x v="1"/>
    <n v="100"/>
    <s v=""/>
    <n v="-100"/>
    <x v="1"/>
    <s v=""/>
    <n v="-200"/>
    <x v="1"/>
    <n v="175"/>
    <s v=""/>
    <n v="-175"/>
    <x v="1"/>
    <s v="Sat"/>
    <s v="Hard To Cross"/>
  </r>
  <r>
    <x v="39"/>
    <d v="1899-12-30T16:25:00"/>
    <x v="8"/>
    <n v="8"/>
    <n v="11"/>
    <s v="Hard To Cross"/>
    <m/>
    <m/>
    <x v="1"/>
    <x v="1"/>
    <n v="100"/>
    <s v=""/>
    <n v="-100"/>
    <x v="3"/>
    <s v=""/>
    <n v="-150"/>
    <x v="0"/>
    <s v=""/>
    <s v=""/>
    <s v=""/>
    <x v="1"/>
    <s v="Sat"/>
    <s v="Hard To Cross"/>
  </r>
  <r>
    <x v="39"/>
    <d v="1899-12-30T17:25:00"/>
    <x v="5"/>
    <n v="10"/>
    <n v="14"/>
    <s v="Chidiac"/>
    <m/>
    <m/>
    <x v="0"/>
    <x v="0"/>
    <n v="100"/>
    <s v=""/>
    <n v="-100"/>
    <x v="3"/>
    <s v=""/>
    <n v="-150"/>
    <x v="1"/>
    <n v="150"/>
    <s v=""/>
    <n v="-150"/>
    <x v="1"/>
    <s v="Sat"/>
    <s v="Chidiac"/>
  </r>
  <r>
    <x v="39"/>
    <d v="1899-12-30T17:25:00"/>
    <x v="5"/>
    <n v="10"/>
    <n v="14"/>
    <s v="Chidiac"/>
    <m/>
    <m/>
    <x v="1"/>
    <x v="0"/>
    <n v="100"/>
    <s v=""/>
    <n v="-100"/>
    <x v="3"/>
    <s v=""/>
    <n v="-150"/>
    <x v="0"/>
    <s v=""/>
    <s v=""/>
    <s v=""/>
    <x v="1"/>
    <s v="Sat"/>
    <s v="Chidiac"/>
  </r>
  <r>
    <x v="40"/>
    <d v="1899-12-30T12:13:00"/>
    <x v="7"/>
    <n v="1"/>
    <n v="6"/>
    <s v="So You Are"/>
    <s v="1st"/>
    <n v="2.15"/>
    <x v="1"/>
    <x v="2"/>
    <n v="100"/>
    <n v="215"/>
    <n v="115"/>
    <x v="0"/>
    <n v="215"/>
    <n v="115"/>
    <x v="0"/>
    <n v="100"/>
    <n v="215"/>
    <n v="115"/>
    <x v="1"/>
    <s v="Sat"/>
    <s v="So You Are"/>
  </r>
  <r>
    <x v="40"/>
    <d v="1899-12-30T12:48:00"/>
    <x v="7"/>
    <n v="2"/>
    <n v="6"/>
    <s v="Heyoka"/>
    <s v="3rd"/>
    <m/>
    <x v="1"/>
    <x v="2"/>
    <n v="100"/>
    <s v=""/>
    <n v="-100"/>
    <x v="0"/>
    <s v=""/>
    <n v="-100"/>
    <x v="0"/>
    <n v="100"/>
    <s v=""/>
    <n v="-100"/>
    <x v="1"/>
    <s v="Sat"/>
    <s v="Heyoka"/>
  </r>
  <r>
    <x v="40"/>
    <d v="1899-12-30T13:23:00"/>
    <x v="7"/>
    <n v="3"/>
    <n v="3"/>
    <s v="Bullion Boy"/>
    <m/>
    <m/>
    <x v="1"/>
    <x v="2"/>
    <n v="100"/>
    <s v=""/>
    <n v="-100"/>
    <x v="0"/>
    <s v=""/>
    <n v="-100"/>
    <x v="0"/>
    <n v="100"/>
    <s v=""/>
    <n v="-100"/>
    <x v="1"/>
    <s v="Sat"/>
    <s v="Bullion Boy"/>
  </r>
  <r>
    <x v="40"/>
    <d v="1899-12-30T13:50:00"/>
    <x v="0"/>
    <n v="4"/>
    <n v="6"/>
    <s v="Ruination"/>
    <s v="2nd"/>
    <m/>
    <x v="1"/>
    <x v="0"/>
    <n v="100"/>
    <s v=""/>
    <n v="-100"/>
    <x v="0"/>
    <s v=""/>
    <n v="-100"/>
    <x v="0"/>
    <n v="100"/>
    <s v=""/>
    <n v="-100"/>
    <x v="1"/>
    <s v="Sat"/>
    <s v="Ruination"/>
  </r>
  <r>
    <x v="40"/>
    <d v="1899-12-30T15:43:00"/>
    <x v="7"/>
    <n v="7"/>
    <n v="2"/>
    <s v="Facundo"/>
    <s v="1st"/>
    <n v="6"/>
    <x v="1"/>
    <x v="2"/>
    <n v="100"/>
    <n v="600"/>
    <n v="500"/>
    <x v="0"/>
    <n v="600"/>
    <n v="500"/>
    <x v="0"/>
    <n v="100"/>
    <n v="600"/>
    <n v="500"/>
    <x v="1"/>
    <s v="Sat"/>
    <s v="Facundo"/>
  </r>
  <r>
    <x v="40"/>
    <d v="1899-12-30T15:50:00"/>
    <x v="2"/>
    <n v="7"/>
    <n v="2"/>
    <s v="Revelare"/>
    <m/>
    <m/>
    <x v="0"/>
    <x v="1"/>
    <n v="100"/>
    <s v=""/>
    <n v="-100"/>
    <x v="0"/>
    <s v=""/>
    <n v="-100"/>
    <x v="0"/>
    <n v="100"/>
    <s v=""/>
    <n v="-100"/>
    <x v="1"/>
    <s v="Sat"/>
    <s v="Revelare"/>
  </r>
  <r>
    <x v="40"/>
    <d v="1899-12-30T16:18:00"/>
    <x v="7"/>
    <n v="8"/>
    <n v="8"/>
    <s v="Star Ambition"/>
    <s v="3rd"/>
    <m/>
    <x v="1"/>
    <x v="2"/>
    <n v="100"/>
    <s v=""/>
    <n v="-100"/>
    <x v="0"/>
    <s v=""/>
    <n v="-100"/>
    <x v="0"/>
    <n v="100"/>
    <s v=""/>
    <n v="-100"/>
    <x v="1"/>
    <s v="Sat"/>
    <s v="Star Ambition"/>
  </r>
  <r>
    <x v="40"/>
    <d v="1899-12-30T16:25:00"/>
    <x v="2"/>
    <n v="8"/>
    <n v="6"/>
    <s v="Half Yours"/>
    <m/>
    <m/>
    <x v="1"/>
    <x v="1"/>
    <n v="100"/>
    <s v=""/>
    <n v="-100"/>
    <x v="0"/>
    <s v=""/>
    <n v="-100"/>
    <x v="0"/>
    <n v="100"/>
    <s v=""/>
    <n v="-100"/>
    <x v="1"/>
    <s v="Sat"/>
    <s v="Half Yours"/>
  </r>
  <r>
    <x v="40"/>
    <d v="1899-12-30T17:05:00"/>
    <x v="2"/>
    <n v="9"/>
    <n v="1"/>
    <s v="War Machine"/>
    <s v="1st"/>
    <n v="3.3"/>
    <x v="1"/>
    <x v="1"/>
    <n v="100"/>
    <n v="330"/>
    <n v="230"/>
    <x v="0"/>
    <n v="330"/>
    <n v="230"/>
    <x v="0"/>
    <n v="100"/>
    <n v="330"/>
    <n v="230"/>
    <x v="1"/>
    <s v="Sat"/>
    <s v="War Machine"/>
  </r>
  <r>
    <x v="40"/>
    <d v="1899-12-30T17:25:00"/>
    <x v="0"/>
    <n v="10"/>
    <n v="10"/>
    <s v="Kerguelen"/>
    <m/>
    <m/>
    <x v="0"/>
    <x v="0"/>
    <n v="100"/>
    <s v=""/>
    <n v="-100"/>
    <x v="0"/>
    <s v=""/>
    <n v="-100"/>
    <x v="0"/>
    <n v="100"/>
    <s v=""/>
    <n v="-100"/>
    <x v="1"/>
    <s v="Sat"/>
    <s v="Kerguelen"/>
  </r>
  <r>
    <x v="40"/>
    <d v="1899-12-30T17:40:00"/>
    <x v="2"/>
    <n v="10"/>
    <n v="9"/>
    <s v="Media World"/>
    <s v="1st"/>
    <n v="3.4"/>
    <x v="0"/>
    <x v="1"/>
    <n v="100"/>
    <n v="340"/>
    <n v="240"/>
    <x v="0"/>
    <n v="340"/>
    <n v="240"/>
    <x v="0"/>
    <n v="100"/>
    <n v="340"/>
    <n v="240"/>
    <x v="1"/>
    <s v="Sat"/>
    <s v="Media World"/>
  </r>
  <r>
    <x v="40"/>
    <d v="1899-12-30T17:40:00"/>
    <x v="2"/>
    <n v="10"/>
    <n v="7"/>
    <s v="Warnie"/>
    <m/>
    <m/>
    <x v="0"/>
    <x v="1"/>
    <n v="100"/>
    <s v=""/>
    <n v="-100"/>
    <x v="2"/>
    <s v=""/>
    <n v="-120"/>
    <x v="0"/>
    <n v="120"/>
    <s v=""/>
    <n v="-120"/>
    <x v="1"/>
    <s v="Sat"/>
    <s v="Warnie"/>
  </r>
  <r>
    <x v="41"/>
    <d v="1899-12-30T13:25:00"/>
    <x v="9"/>
    <n v="3"/>
    <n v="8"/>
    <s v="Brayden Star"/>
    <s v="1st"/>
    <n v="7.5"/>
    <x v="0"/>
    <x v="1"/>
    <n v="100"/>
    <n v="750"/>
    <n v="650"/>
    <x v="4"/>
    <n v="375"/>
    <n v="325"/>
    <x v="0"/>
    <n v="50"/>
    <n v="375"/>
    <n v="325"/>
    <x v="1"/>
    <s v="Sat"/>
    <s v="Brayden Star"/>
  </r>
  <r>
    <x v="41"/>
    <d v="1899-12-30T13:45:00"/>
    <x v="5"/>
    <n v="3"/>
    <n v="9"/>
    <s v="Agita"/>
    <m/>
    <m/>
    <x v="1"/>
    <x v="0"/>
    <n v="100"/>
    <s v=""/>
    <n v="-100"/>
    <x v="3"/>
    <s v=""/>
    <n v="-150"/>
    <x v="0"/>
    <n v="150"/>
    <s v=""/>
    <n v="-150"/>
    <x v="1"/>
    <s v="Sat"/>
    <s v="Agita"/>
  </r>
  <r>
    <x v="41"/>
    <d v="1899-12-30T13:53:00"/>
    <x v="4"/>
    <n v="3"/>
    <n v="13"/>
    <s v="Rock The Sunrise"/>
    <m/>
    <m/>
    <x v="1"/>
    <x v="2"/>
    <n v="100"/>
    <s v=""/>
    <n v="-100"/>
    <x v="0"/>
    <s v=""/>
    <n v="-100"/>
    <x v="0"/>
    <n v="100"/>
    <s v=""/>
    <n v="-100"/>
    <x v="1"/>
    <s v="Sat"/>
    <s v="Rock The Sunrise"/>
  </r>
  <r>
    <x v="41"/>
    <d v="1899-12-30T14:00:00"/>
    <x v="9"/>
    <n v="4"/>
    <n v="2"/>
    <s v="Jennilala"/>
    <s v="2nd"/>
    <m/>
    <x v="0"/>
    <x v="1"/>
    <n v="100"/>
    <s v=""/>
    <n v="-100"/>
    <x v="0"/>
    <s v=""/>
    <n v="-100"/>
    <x v="0"/>
    <n v="100"/>
    <s v=""/>
    <n v="-100"/>
    <x v="1"/>
    <s v="Sat"/>
    <s v="Jennilala"/>
  </r>
  <r>
    <x v="41"/>
    <d v="1899-12-30T14:00:00"/>
    <x v="9"/>
    <n v="4"/>
    <n v="6"/>
    <s v="Sea What I See"/>
    <m/>
    <m/>
    <x v="0"/>
    <x v="1"/>
    <n v="100"/>
    <s v=""/>
    <n v="-100"/>
    <x v="2"/>
    <s v=""/>
    <n v="-120"/>
    <x v="1"/>
    <n v="160"/>
    <s v=""/>
    <n v="-160"/>
    <x v="1"/>
    <s v="Sat"/>
    <s v="Sea What I See"/>
  </r>
  <r>
    <x v="41"/>
    <d v="1899-12-30T14:00:00"/>
    <x v="9"/>
    <n v="4"/>
    <n v="6"/>
    <s v="Sea What I See"/>
    <m/>
    <m/>
    <x v="1"/>
    <x v="1"/>
    <n v="100"/>
    <s v=""/>
    <n v="-100"/>
    <x v="1"/>
    <s v=""/>
    <n v="-200"/>
    <x v="0"/>
    <s v=""/>
    <s v=""/>
    <s v=""/>
    <x v="1"/>
    <s v="Sat"/>
    <s v="Sea What I See"/>
  </r>
  <r>
    <x v="41"/>
    <d v="1899-12-30T14:35:00"/>
    <x v="9"/>
    <n v="5"/>
    <n v="8"/>
    <s v="King Zephyr"/>
    <s v="2nd"/>
    <m/>
    <x v="0"/>
    <x v="1"/>
    <n v="100"/>
    <s v=""/>
    <n v="-100"/>
    <x v="2"/>
    <s v=""/>
    <n v="-120"/>
    <x v="1"/>
    <n v="160"/>
    <s v=""/>
    <n v="-160"/>
    <x v="1"/>
    <s v="Sat"/>
    <s v="King Zephyr"/>
  </r>
  <r>
    <x v="41"/>
    <d v="1899-12-30T14:35:00"/>
    <x v="9"/>
    <n v="5"/>
    <n v="8"/>
    <s v="King Zephyr"/>
    <s v="2nd"/>
    <m/>
    <x v="1"/>
    <x v="1"/>
    <n v="100"/>
    <s v=""/>
    <n v="-100"/>
    <x v="1"/>
    <s v=""/>
    <n v="-200"/>
    <x v="0"/>
    <s v=""/>
    <s v=""/>
    <s v=""/>
    <x v="1"/>
    <s v="Sat"/>
    <s v="King Zephyr"/>
  </r>
  <r>
    <x v="41"/>
    <d v="1899-12-30T15:43:00"/>
    <x v="4"/>
    <n v="6"/>
    <n v="7"/>
    <s v="Express Payment"/>
    <s v="1st"/>
    <n v="4.8"/>
    <x v="1"/>
    <x v="2"/>
    <n v="100"/>
    <n v="480"/>
    <n v="380"/>
    <x v="0"/>
    <n v="480"/>
    <n v="380"/>
    <x v="0"/>
    <n v="100"/>
    <n v="480"/>
    <n v="380"/>
    <x v="1"/>
    <s v="Sat"/>
    <s v="Express Payment"/>
  </r>
  <r>
    <x v="41"/>
    <d v="1899-12-30T15:50:00"/>
    <x v="9"/>
    <n v="7"/>
    <n v="5"/>
    <s v="Sepals"/>
    <m/>
    <m/>
    <x v="1"/>
    <x v="1"/>
    <n v="100"/>
    <s v=""/>
    <n v="-100"/>
    <x v="1"/>
    <s v=""/>
    <n v="-200"/>
    <x v="0"/>
    <n v="200"/>
    <s v=""/>
    <n v="-200"/>
    <x v="1"/>
    <s v="Sat"/>
    <s v="Sepals"/>
  </r>
  <r>
    <x v="41"/>
    <d v="1899-12-30T15:50:00"/>
    <x v="9"/>
    <n v="7"/>
    <n v="6"/>
    <s v="Transatlantic"/>
    <s v="1st"/>
    <n v="12"/>
    <x v="0"/>
    <x v="1"/>
    <n v="100"/>
    <n v="1200"/>
    <n v="1100"/>
    <x v="4"/>
    <n v="600"/>
    <n v="550"/>
    <x v="0"/>
    <n v="50"/>
    <n v="600"/>
    <n v="550"/>
    <x v="1"/>
    <s v="Sat"/>
    <s v="Transatlantic"/>
  </r>
  <r>
    <x v="41"/>
    <d v="1899-12-30T16:10:00"/>
    <x v="5"/>
    <n v="7"/>
    <n v="6"/>
    <s v="Gangsta Granny"/>
    <s v="1st"/>
    <n v="2.4500000000000002"/>
    <x v="0"/>
    <x v="0"/>
    <n v="100"/>
    <n v="245.00000000000003"/>
    <n v="145.00000000000003"/>
    <x v="1"/>
    <n v="490.00000000000006"/>
    <n v="290.00000000000006"/>
    <x v="1"/>
    <n v="175"/>
    <n v="428.75000000000006"/>
    <n v="253.75000000000006"/>
    <x v="1"/>
    <s v="Sat"/>
    <s v="Gangsta Granny"/>
  </r>
  <r>
    <x v="41"/>
    <d v="1899-12-30T16:10:00"/>
    <x v="5"/>
    <n v="7"/>
    <n v="6"/>
    <s v="Gangsta Granny"/>
    <s v="1st"/>
    <n v="2.4500000000000002"/>
    <x v="1"/>
    <x v="0"/>
    <n v="100"/>
    <n v="245.00000000000003"/>
    <n v="145.00000000000003"/>
    <x v="3"/>
    <n v="367.5"/>
    <n v="217.5"/>
    <x v="0"/>
    <s v=""/>
    <s v=""/>
    <s v=""/>
    <x v="1"/>
    <s v="Sat"/>
    <s v="Gangsta Granny"/>
  </r>
  <r>
    <x v="41"/>
    <d v="1899-12-30T16:20:00"/>
    <x v="4"/>
    <n v="7"/>
    <n v="13"/>
    <s v="Victory Flame"/>
    <s v="1st"/>
    <n v="2.9"/>
    <x v="1"/>
    <x v="2"/>
    <n v="100"/>
    <n v="290"/>
    <n v="190"/>
    <x v="0"/>
    <n v="290"/>
    <n v="190"/>
    <x v="0"/>
    <n v="100"/>
    <n v="290"/>
    <n v="190"/>
    <x v="1"/>
    <s v="Sat"/>
    <s v="Victory Flame"/>
  </r>
  <r>
    <x v="41"/>
    <d v="1899-12-30T16:50:00"/>
    <x v="5"/>
    <n v="8"/>
    <n v="9"/>
    <s v="Elamaz"/>
    <m/>
    <m/>
    <x v="1"/>
    <x v="0"/>
    <n v="100"/>
    <s v=""/>
    <n v="-100"/>
    <x v="3"/>
    <s v=""/>
    <n v="-150"/>
    <x v="0"/>
    <n v="150"/>
    <s v=""/>
    <n v="-150"/>
    <x v="1"/>
    <s v="Sat"/>
    <s v="Elamaz"/>
  </r>
  <r>
    <x v="41"/>
    <d v="1899-12-30T17:00:00"/>
    <x v="4"/>
    <n v="8"/>
    <n v="10"/>
    <s v="So You Are"/>
    <s v="2nd"/>
    <m/>
    <x v="1"/>
    <x v="2"/>
    <n v="100"/>
    <s v=""/>
    <n v="-100"/>
    <x v="0"/>
    <s v=""/>
    <n v="-100"/>
    <x v="0"/>
    <n v="100"/>
    <s v=""/>
    <n v="-100"/>
    <x v="1"/>
    <s v="Sat"/>
    <s v="So You Are"/>
  </r>
  <r>
    <x v="41"/>
    <d v="1899-12-30T17:37:00"/>
    <x v="4"/>
    <n v="9"/>
    <n v="10"/>
    <s v="Fukubana"/>
    <m/>
    <m/>
    <x v="1"/>
    <x v="2"/>
    <n v="100"/>
    <s v=""/>
    <n v="-100"/>
    <x v="0"/>
    <s v=""/>
    <n v="-100"/>
    <x v="0"/>
    <n v="100"/>
    <s v=""/>
    <n v="-100"/>
    <x v="1"/>
    <s v="Sat"/>
    <s v="Fukubana"/>
  </r>
  <r>
    <x v="41"/>
    <d v="1899-12-30T17:45:00"/>
    <x v="9"/>
    <n v="10"/>
    <n v="3"/>
    <s v="Shes Bulletproof"/>
    <s v="1st"/>
    <n v="3.9"/>
    <x v="1"/>
    <x v="1"/>
    <n v="100"/>
    <n v="390"/>
    <n v="290"/>
    <x v="1"/>
    <n v="780"/>
    <n v="580"/>
    <x v="0"/>
    <n v="200"/>
    <n v="780"/>
    <n v="580"/>
    <x v="1"/>
    <s v="Sat"/>
    <s v="Shes Bulletproof"/>
  </r>
  <r>
    <x v="41"/>
    <d v="1899-12-30T18:05:00"/>
    <x v="5"/>
    <n v="10"/>
    <n v="3"/>
    <s v="Roselyns Star"/>
    <s v="1st"/>
    <n v="2.5"/>
    <x v="1"/>
    <x v="0"/>
    <n v="100"/>
    <n v="250"/>
    <n v="150"/>
    <x v="3"/>
    <n v="375"/>
    <n v="225"/>
    <x v="0"/>
    <n v="150"/>
    <n v="375"/>
    <n v="225"/>
    <x v="1"/>
    <s v="Sat"/>
    <s v="Roselyns Star"/>
  </r>
  <r>
    <x v="41"/>
    <d v="1899-12-30T18:05:00"/>
    <x v="5"/>
    <n v="10"/>
    <n v="3"/>
    <s v="Roselyn'S Star"/>
    <s v="1st"/>
    <n v="2.5"/>
    <x v="0"/>
    <x v="0"/>
    <n v="100"/>
    <n v="250"/>
    <n v="150"/>
    <x v="6"/>
    <n v="350"/>
    <n v="210"/>
    <x v="0"/>
    <n v="140"/>
    <n v="350"/>
    <n v="210"/>
    <x v="1"/>
    <s v="Sat"/>
    <s v="Roselyn'S Star"/>
  </r>
  <r>
    <x v="42"/>
    <d v="1899-12-30T13:05:00"/>
    <x v="0"/>
    <n v="2"/>
    <n v="7"/>
    <s v="Travolta"/>
    <s v="1st"/>
    <n v="6.5"/>
    <x v="0"/>
    <x v="0"/>
    <n v="100"/>
    <n v="650"/>
    <n v="550"/>
    <x v="0"/>
    <n v="650"/>
    <n v="550"/>
    <x v="0"/>
    <n v="100"/>
    <n v="650"/>
    <n v="550"/>
    <x v="1"/>
    <s v="Sat"/>
    <s v="Travolta"/>
  </r>
  <r>
    <x v="42"/>
    <d v="1899-12-30T14:15:00"/>
    <x v="0"/>
    <n v="4"/>
    <n v="7"/>
    <s v="Perfumist"/>
    <s v="2nd"/>
    <m/>
    <x v="0"/>
    <x v="0"/>
    <n v="100"/>
    <s v=""/>
    <n v="-100"/>
    <x v="1"/>
    <s v=""/>
    <n v="-200"/>
    <x v="0"/>
    <n v="200"/>
    <s v=""/>
    <n v="-200"/>
    <x v="1"/>
    <s v="Sat"/>
    <s v="Perfumist"/>
  </r>
  <r>
    <x v="42"/>
    <d v="1899-12-30T14:35:00"/>
    <x v="9"/>
    <n v="5"/>
    <n v="5"/>
    <s v="New York Lustre"/>
    <s v="3rd"/>
    <m/>
    <x v="0"/>
    <x v="1"/>
    <n v="100"/>
    <s v=""/>
    <n v="-100"/>
    <x v="4"/>
    <s v=""/>
    <n v="-50"/>
    <x v="0"/>
    <n v="50"/>
    <s v=""/>
    <n v="-50"/>
    <x v="1"/>
    <s v="Sat"/>
    <s v="New York Lustre"/>
  </r>
  <r>
    <x v="42"/>
    <d v="1899-12-30T14:58:00"/>
    <x v="4"/>
    <n v="4"/>
    <n v="3"/>
    <s v="Party For Two"/>
    <s v="1st"/>
    <n v="2.2999999999999998"/>
    <x v="1"/>
    <x v="2"/>
    <n v="100"/>
    <n v="229.99999999999997"/>
    <n v="129.99999999999997"/>
    <x v="0"/>
    <n v="229.99999999999997"/>
    <n v="129.99999999999997"/>
    <x v="0"/>
    <n v="100"/>
    <n v="229.99999999999997"/>
    <n v="129.99999999999997"/>
    <x v="1"/>
    <s v="Sat"/>
    <s v="Party For Two"/>
  </r>
  <r>
    <x v="42"/>
    <d v="1899-12-30T15:10:00"/>
    <x v="9"/>
    <n v="6"/>
    <n v="3"/>
    <s v="Arabian Summer"/>
    <m/>
    <m/>
    <x v="0"/>
    <x v="1"/>
    <n v="100"/>
    <s v=""/>
    <n v="-100"/>
    <x v="0"/>
    <s v=""/>
    <n v="-100"/>
    <x v="0"/>
    <n v="100"/>
    <s v=""/>
    <n v="-100"/>
    <x v="1"/>
    <s v="Sat"/>
    <s v="Arabian Summer"/>
  </r>
  <r>
    <x v="42"/>
    <d v="1899-12-30T15:10:00"/>
    <x v="9"/>
    <n v="6"/>
    <n v="7"/>
    <s v="Zealously"/>
    <s v="3rd"/>
    <m/>
    <x v="1"/>
    <x v="1"/>
    <n v="100"/>
    <s v=""/>
    <n v="-100"/>
    <x v="1"/>
    <s v=""/>
    <n v="-200"/>
    <x v="0"/>
    <n v="200"/>
    <s v=""/>
    <n v="-200"/>
    <x v="1"/>
    <s v="Sat"/>
    <s v="Zealously"/>
  </r>
  <r>
    <x v="42"/>
    <d v="1899-12-30T16:23:00"/>
    <x v="4"/>
    <n v="6"/>
    <n v="10"/>
    <s v="Bremel"/>
    <m/>
    <m/>
    <x v="1"/>
    <x v="2"/>
    <n v="100"/>
    <s v=""/>
    <n v="-100"/>
    <x v="0"/>
    <s v=""/>
    <n v="-100"/>
    <x v="0"/>
    <n v="100"/>
    <s v=""/>
    <n v="-100"/>
    <x v="1"/>
    <s v="Sat"/>
    <s v="Bremel"/>
  </r>
  <r>
    <x v="42"/>
    <d v="1899-12-30T16:30:00"/>
    <x v="9"/>
    <n v="8"/>
    <n v="2"/>
    <s v="Private Eye"/>
    <s v="1st"/>
    <n v="2.1"/>
    <x v="1"/>
    <x v="1"/>
    <n v="100"/>
    <n v="210"/>
    <n v="110"/>
    <x v="0"/>
    <n v="210"/>
    <n v="110"/>
    <x v="0"/>
    <n v="100"/>
    <n v="210"/>
    <n v="110"/>
    <x v="1"/>
    <s v="Sat"/>
    <s v="Private Eye"/>
  </r>
  <r>
    <x v="42"/>
    <d v="1899-12-30T17:50:00"/>
    <x v="9"/>
    <n v="10"/>
    <n v="9"/>
    <s v="Rapt"/>
    <m/>
    <m/>
    <x v="1"/>
    <x v="1"/>
    <n v="100"/>
    <s v=""/>
    <n v="-100"/>
    <x v="0"/>
    <s v=""/>
    <n v="-100"/>
    <x v="0"/>
    <n v="100"/>
    <s v=""/>
    <n v="-100"/>
    <x v="1"/>
    <s v="Sat"/>
    <s v="Rapt"/>
  </r>
  <r>
    <x v="43"/>
    <d v="1899-12-30T13:43:00"/>
    <x v="7"/>
    <n v="2"/>
    <n v="13"/>
    <s v="Synergy In Motion"/>
    <m/>
    <m/>
    <x v="1"/>
    <x v="2"/>
    <n v="100"/>
    <s v=""/>
    <n v="-100"/>
    <x v="0"/>
    <s v=""/>
    <n v="-100"/>
    <x v="0"/>
    <n v="100"/>
    <s v=""/>
    <n v="-100"/>
    <x v="1"/>
    <s v="Sat"/>
    <s v="Synergy In Motion"/>
  </r>
  <r>
    <x v="43"/>
    <d v="1899-12-30T14:25:00"/>
    <x v="10"/>
    <n v="5"/>
    <n v="7"/>
    <s v="Star Of India"/>
    <s v="1st"/>
    <n v="11"/>
    <x v="1"/>
    <x v="1"/>
    <n v="100"/>
    <n v="1100"/>
    <n v="1000"/>
    <x v="0"/>
    <n v="1100"/>
    <n v="1000"/>
    <x v="0"/>
    <n v="100"/>
    <n v="1100"/>
    <n v="1000"/>
    <x v="1"/>
    <s v="Sat"/>
    <s v="Star Of India"/>
  </r>
  <r>
    <x v="43"/>
    <d v="1899-12-30T14:53:00"/>
    <x v="7"/>
    <n v="4"/>
    <n v="4"/>
    <s v="Freeland"/>
    <m/>
    <m/>
    <x v="1"/>
    <x v="2"/>
    <n v="100"/>
    <s v=""/>
    <n v="-100"/>
    <x v="0"/>
    <s v=""/>
    <n v="-100"/>
    <x v="0"/>
    <n v="100"/>
    <s v=""/>
    <n v="-100"/>
    <x v="1"/>
    <s v="Sat"/>
    <s v="Freeland"/>
  </r>
  <r>
    <x v="43"/>
    <d v="1899-12-30T15:00:00"/>
    <x v="10"/>
    <n v="6"/>
    <n v="9"/>
    <s v="She'S A Hustler"/>
    <s v="1st"/>
    <n v="3.8"/>
    <x v="0"/>
    <x v="1"/>
    <n v="100"/>
    <n v="380"/>
    <n v="280"/>
    <x v="2"/>
    <n v="456"/>
    <n v="336"/>
    <x v="0"/>
    <n v="120"/>
    <n v="456"/>
    <n v="336"/>
    <x v="1"/>
    <s v="Sat"/>
    <s v="She'S A Hustler"/>
  </r>
  <r>
    <x v="43"/>
    <d v="1899-12-30T15:20:00"/>
    <x v="0"/>
    <n v="6"/>
    <n v="1"/>
    <s v="Lindermann"/>
    <s v="1st"/>
    <n v="1.5"/>
    <x v="1"/>
    <x v="0"/>
    <n v="100"/>
    <n v="150"/>
    <n v="50"/>
    <x v="3"/>
    <n v="225"/>
    <n v="75"/>
    <x v="0"/>
    <n v="150"/>
    <n v="225"/>
    <n v="75"/>
    <x v="1"/>
    <s v="Sat"/>
    <s v="Lindermann"/>
  </r>
  <r>
    <x v="43"/>
    <d v="1899-12-30T15:28:00"/>
    <x v="7"/>
    <n v="5"/>
    <n v="6"/>
    <s v="Cunnamulla Fella"/>
    <m/>
    <m/>
    <x v="1"/>
    <x v="2"/>
    <n v="100"/>
    <s v=""/>
    <n v="-100"/>
    <x v="0"/>
    <s v=""/>
    <n v="-100"/>
    <x v="0"/>
    <n v="100"/>
    <s v=""/>
    <n v="-100"/>
    <x v="1"/>
    <s v="Sat"/>
    <s v="Cunnamulla Fella"/>
  </r>
  <r>
    <x v="43"/>
    <d v="1899-12-30T16:42:00"/>
    <x v="7"/>
    <n v="7"/>
    <n v="6"/>
    <s v="Colophon"/>
    <s v="1st"/>
    <n v="2"/>
    <x v="1"/>
    <x v="2"/>
    <n v="100"/>
    <n v="200"/>
    <n v="100"/>
    <x v="0"/>
    <n v="200"/>
    <n v="100"/>
    <x v="0"/>
    <n v="100"/>
    <n v="200"/>
    <n v="100"/>
    <x v="1"/>
    <s v="Sat"/>
    <s v="Colophon"/>
  </r>
  <r>
    <x v="43"/>
    <d v="1899-12-30T17:15:00"/>
    <x v="0"/>
    <n v="9"/>
    <n v="3"/>
    <s v="Miss Roumbini"/>
    <m/>
    <m/>
    <x v="0"/>
    <x v="0"/>
    <n v="100"/>
    <s v=""/>
    <n v="-100"/>
    <x v="3"/>
    <s v=""/>
    <n v="-150"/>
    <x v="1"/>
    <n v="150"/>
    <s v=""/>
    <n v="-150"/>
    <x v="1"/>
    <s v="Sat"/>
    <s v="Miss Roumbini"/>
  </r>
  <r>
    <x v="43"/>
    <d v="1899-12-30T17:15:00"/>
    <x v="0"/>
    <n v="9"/>
    <n v="3"/>
    <s v="Miss Roumbini"/>
    <m/>
    <m/>
    <x v="1"/>
    <x v="0"/>
    <n v="100"/>
    <s v=""/>
    <n v="-100"/>
    <x v="3"/>
    <s v=""/>
    <n v="-150"/>
    <x v="0"/>
    <s v=""/>
    <s v=""/>
    <s v=""/>
    <x v="1"/>
    <s v="Sat"/>
    <s v="Miss Roumbini"/>
  </r>
  <r>
    <x v="43"/>
    <d v="1899-12-30T18:10:00"/>
    <x v="7"/>
    <n v="9"/>
    <n v="18"/>
    <s v="Rock Hard Love"/>
    <m/>
    <m/>
    <x v="1"/>
    <x v="2"/>
    <n v="100"/>
    <s v=""/>
    <n v="-100"/>
    <x v="0"/>
    <s v=""/>
    <n v="-100"/>
    <x v="0"/>
    <n v="100"/>
    <s v=""/>
    <n v="-100"/>
    <x v="1"/>
    <s v="Sat"/>
    <s v="Rock Hard Love"/>
  </r>
  <r>
    <x v="43"/>
    <d v="1899-12-30T18:45:00"/>
    <x v="7"/>
    <n v="10"/>
    <n v="13"/>
    <s v="Epic Proportions"/>
    <s v="1st"/>
    <n v="11"/>
    <x v="1"/>
    <x v="2"/>
    <n v="100"/>
    <n v="1100"/>
    <n v="1000"/>
    <x v="0"/>
    <n v="1100"/>
    <n v="1000"/>
    <x v="0"/>
    <n v="100"/>
    <n v="1100"/>
    <n v="1000"/>
    <x v="1"/>
    <s v="Sat"/>
    <s v="Epic Proportions"/>
  </r>
  <r>
    <x v="44"/>
    <d v="1899-12-30T12:10:00"/>
    <x v="0"/>
    <n v="1"/>
    <n v="4"/>
    <s v="Strawberry Impact"/>
    <s v="2nd"/>
    <m/>
    <x v="0"/>
    <x v="0"/>
    <n v="100"/>
    <s v=""/>
    <n v="-100"/>
    <x v="0"/>
    <s v=""/>
    <n v="-100"/>
    <x v="0"/>
    <n v="100"/>
    <s v=""/>
    <n v="-100"/>
    <x v="1"/>
    <s v="Sat"/>
    <s v="Strawberry Impact"/>
  </r>
  <r>
    <x v="44"/>
    <d v="1899-12-30T13:20:00"/>
    <x v="0"/>
    <n v="3"/>
    <n v="5"/>
    <s v="Rubi'S Serve"/>
    <m/>
    <m/>
    <x v="0"/>
    <x v="0"/>
    <n v="100"/>
    <s v=""/>
    <n v="-100"/>
    <x v="0"/>
    <s v=""/>
    <n v="-100"/>
    <x v="0"/>
    <n v="100"/>
    <s v=""/>
    <n v="-100"/>
    <x v="1"/>
    <s v="Sat"/>
    <s v="Rubi'S Serve"/>
  </r>
  <r>
    <x v="44"/>
    <d v="1899-12-30T13:32:00"/>
    <x v="4"/>
    <n v="3"/>
    <n v="4"/>
    <s v="Connecticut"/>
    <m/>
    <m/>
    <x v="1"/>
    <x v="2"/>
    <n v="100"/>
    <s v=""/>
    <n v="-100"/>
    <x v="0"/>
    <s v=""/>
    <n v="-100"/>
    <x v="0"/>
    <n v="100"/>
    <s v=""/>
    <n v="-100"/>
    <x v="1"/>
    <s v="Sat"/>
    <s v="Connecticut"/>
  </r>
  <r>
    <x v="44"/>
    <d v="1899-12-30T13:40:00"/>
    <x v="17"/>
    <n v="3"/>
    <n v="10"/>
    <s v="Hedged"/>
    <m/>
    <m/>
    <x v="1"/>
    <x v="1"/>
    <n v="100"/>
    <s v=""/>
    <n v="-100"/>
    <x v="1"/>
    <s v=""/>
    <n v="-200"/>
    <x v="0"/>
    <n v="200"/>
    <s v=""/>
    <n v="-200"/>
    <x v="1"/>
    <s v="Sat"/>
    <s v="Hedged"/>
  </r>
  <r>
    <x v="44"/>
    <d v="1899-12-30T14:40:00"/>
    <x v="0"/>
    <n v="5"/>
    <n v="12"/>
    <s v="United Kingdom"/>
    <m/>
    <m/>
    <x v="0"/>
    <x v="0"/>
    <n v="100"/>
    <s v=""/>
    <n v="-100"/>
    <x v="3"/>
    <s v=""/>
    <n v="-150"/>
    <x v="0"/>
    <n v="150"/>
    <s v=""/>
    <n v="-150"/>
    <x v="1"/>
    <s v="Sat"/>
    <s v="United Kingdom"/>
  </r>
  <r>
    <x v="44"/>
    <d v="1899-12-30T15:00:00"/>
    <x v="17"/>
    <n v="5"/>
    <n v="6"/>
    <s v="Warnie"/>
    <s v="1st"/>
    <n v="5.5"/>
    <x v="0"/>
    <x v="1"/>
    <n v="100"/>
    <n v="550"/>
    <n v="450"/>
    <x v="0"/>
    <n v="550"/>
    <n v="450"/>
    <x v="0"/>
    <n v="100"/>
    <n v="550"/>
    <n v="450"/>
    <x v="1"/>
    <s v="Sat"/>
    <s v="Warnie"/>
  </r>
  <r>
    <x v="44"/>
    <d v="1899-12-30T15:00:00"/>
    <x v="17"/>
    <n v="5"/>
    <n v="4"/>
    <s v="Zou Sensation"/>
    <s v="2nd"/>
    <m/>
    <x v="1"/>
    <x v="1"/>
    <n v="100"/>
    <s v=""/>
    <n v="-100"/>
    <x v="1"/>
    <s v=""/>
    <n v="-200"/>
    <x v="0"/>
    <n v="200"/>
    <s v=""/>
    <n v="-200"/>
    <x v="1"/>
    <s v="Sat"/>
    <s v="Zou Sensation"/>
  </r>
  <r>
    <x v="44"/>
    <d v="1899-12-30T15:20:00"/>
    <x v="0"/>
    <n v="6"/>
    <n v="8"/>
    <s v="Istolea Merc"/>
    <m/>
    <m/>
    <x v="0"/>
    <x v="0"/>
    <n v="100"/>
    <s v=""/>
    <n v="-100"/>
    <x v="1"/>
    <s v=""/>
    <n v="-200"/>
    <x v="1"/>
    <n v="175"/>
    <s v=""/>
    <n v="-175"/>
    <x v="1"/>
    <s v="Sat"/>
    <s v="Istolea Merc"/>
  </r>
  <r>
    <x v="44"/>
    <d v="1899-12-30T15:20:00"/>
    <x v="0"/>
    <n v="6"/>
    <n v="8"/>
    <s v="Istolea Merc"/>
    <m/>
    <m/>
    <x v="1"/>
    <x v="0"/>
    <n v="100"/>
    <s v=""/>
    <n v="-100"/>
    <x v="3"/>
    <s v=""/>
    <n v="-150"/>
    <x v="0"/>
    <s v=""/>
    <s v=""/>
    <s v=""/>
    <x v="1"/>
    <s v="Sat"/>
    <s v="Istolea Merc"/>
  </r>
  <r>
    <x v="44"/>
    <d v="1899-12-30T16:45:00"/>
    <x v="0"/>
    <n v="8"/>
    <n v="14"/>
    <s v="Autumn Glow"/>
    <s v="1st"/>
    <n v="1.85"/>
    <x v="0"/>
    <x v="0"/>
    <n v="100"/>
    <n v="185"/>
    <n v="85"/>
    <x v="1"/>
    <n v="370"/>
    <n v="170"/>
    <x v="1"/>
    <n v="175"/>
    <n v="323.75"/>
    <n v="148.75"/>
    <x v="1"/>
    <s v="Sat"/>
    <s v="Autumn Glow"/>
  </r>
  <r>
    <x v="44"/>
    <d v="1899-12-30T16:45:00"/>
    <x v="0"/>
    <n v="8"/>
    <n v="14"/>
    <s v="Autumn Glow"/>
    <s v="1st"/>
    <n v="1.85"/>
    <x v="1"/>
    <x v="0"/>
    <n v="100"/>
    <n v="185"/>
    <n v="85"/>
    <x v="3"/>
    <n v="277.5"/>
    <n v="127.5"/>
    <x v="0"/>
    <s v=""/>
    <s v=""/>
    <s v=""/>
    <x v="1"/>
    <s v="Sat"/>
    <s v="Autumn Glow"/>
  </r>
  <r>
    <x v="44"/>
    <d v="1899-12-30T17:20:00"/>
    <x v="0"/>
    <n v="9"/>
    <n v="6"/>
    <s v="Wootton Verni"/>
    <s v="1st"/>
    <n v="2.9"/>
    <x v="0"/>
    <x v="0"/>
    <n v="100"/>
    <n v="290"/>
    <n v="190"/>
    <x v="1"/>
    <n v="580"/>
    <n v="380"/>
    <x v="1"/>
    <n v="175"/>
    <n v="507.5"/>
    <n v="332.5"/>
    <x v="1"/>
    <s v="Sat"/>
    <s v="Wootton Verni"/>
  </r>
  <r>
    <x v="44"/>
    <d v="1899-12-30T17:20:00"/>
    <x v="0"/>
    <n v="9"/>
    <n v="6"/>
    <s v="Wootton Verni"/>
    <s v="1st"/>
    <n v="2.9"/>
    <x v="1"/>
    <x v="0"/>
    <n v="100"/>
    <n v="290"/>
    <n v="190"/>
    <x v="3"/>
    <n v="435"/>
    <n v="285"/>
    <x v="0"/>
    <s v=""/>
    <s v=""/>
    <s v=""/>
    <x v="1"/>
    <s v="Sat"/>
    <s v="Wootton Verni"/>
  </r>
  <r>
    <x v="44"/>
    <d v="1899-12-30T17:40:00"/>
    <x v="17"/>
    <n v="9"/>
    <n v="2"/>
    <s v="Arabian Summer"/>
    <m/>
    <m/>
    <x v="0"/>
    <x v="1"/>
    <n v="100"/>
    <s v=""/>
    <n v="-100"/>
    <x v="0"/>
    <s v=""/>
    <n v="-100"/>
    <x v="0"/>
    <n v="100"/>
    <s v=""/>
    <n v="-100"/>
    <x v="1"/>
    <s v="Sat"/>
    <s v="Arabian Summer"/>
  </r>
  <r>
    <x v="44"/>
    <d v="1899-12-30T17:40:00"/>
    <x v="17"/>
    <n v="9"/>
    <n v="10"/>
    <s v="New York Lustre"/>
    <s v="1st"/>
    <n v="10"/>
    <x v="1"/>
    <x v="1"/>
    <n v="100"/>
    <n v="1000"/>
    <n v="900"/>
    <x v="1"/>
    <n v="2000"/>
    <n v="1800"/>
    <x v="0"/>
    <n v="200"/>
    <n v="2000"/>
    <n v="1800"/>
    <x v="1"/>
    <s v="Sat"/>
    <s v="New York Lustre"/>
  </r>
  <r>
    <x v="45"/>
    <d v="1899-12-30T13:55:00"/>
    <x v="17"/>
    <n v="6"/>
    <n v="6"/>
    <s v="Athanatos"/>
    <m/>
    <m/>
    <x v="0"/>
    <x v="1"/>
    <n v="100"/>
    <s v=""/>
    <n v="-100"/>
    <x v="0"/>
    <s v=""/>
    <n v="-100"/>
    <x v="0"/>
    <n v="100"/>
    <s v=""/>
    <n v="-100"/>
    <x v="1"/>
    <s v="Tue"/>
    <s v="Athanatos"/>
  </r>
  <r>
    <x v="45"/>
    <d v="1899-12-30T17:25:00"/>
    <x v="17"/>
    <n v="10"/>
    <n v="3"/>
    <s v="Ndola"/>
    <s v="3rd"/>
    <m/>
    <x v="0"/>
    <x v="1"/>
    <n v="100"/>
    <s v=""/>
    <n v="-100"/>
    <x v="0"/>
    <s v=""/>
    <n v="-100"/>
    <x v="0"/>
    <n v="100"/>
    <s v=""/>
    <n v="-100"/>
    <x v="1"/>
    <s v="Tue"/>
    <s v="Ndola"/>
  </r>
  <r>
    <x v="45"/>
    <d v="1899-12-30T17:25:00"/>
    <x v="17"/>
    <n v="10"/>
    <n v="12"/>
    <s v="Persian Spirit"/>
    <s v="1st"/>
    <n v="5"/>
    <x v="0"/>
    <x v="1"/>
    <n v="100"/>
    <n v="500"/>
    <n v="400"/>
    <x v="4"/>
    <n v="250"/>
    <n v="200"/>
    <x v="0"/>
    <n v="50"/>
    <n v="250"/>
    <n v="200"/>
    <x v="1"/>
    <s v="Tue"/>
    <s v="Persian Spirit"/>
  </r>
  <r>
    <x v="46"/>
    <d v="1899-12-30T13:00:00"/>
    <x v="17"/>
    <n v="1"/>
    <n v="13"/>
    <s v="House Of Lords"/>
    <m/>
    <m/>
    <x v="1"/>
    <x v="1"/>
    <n v="100"/>
    <s v=""/>
    <n v="-100"/>
    <x v="0"/>
    <s v=""/>
    <n v="-100"/>
    <x v="0"/>
    <n v="100"/>
    <s v=""/>
    <n v="-100"/>
    <x v="1"/>
    <s v="Thu"/>
    <s v="House Of Lords"/>
  </r>
  <r>
    <x v="46"/>
    <d v="1899-12-30T14:10:00"/>
    <x v="17"/>
    <n v="3"/>
    <n v="2"/>
    <s v="Verona Rose"/>
    <s v="1st"/>
    <n v="4"/>
    <x v="1"/>
    <x v="1"/>
    <n v="100"/>
    <n v="400"/>
    <n v="300"/>
    <x v="0"/>
    <n v="400"/>
    <n v="300"/>
    <x v="0"/>
    <n v="100"/>
    <n v="400"/>
    <n v="300"/>
    <x v="1"/>
    <s v="Thu"/>
    <s v="Verona Rose"/>
  </r>
  <r>
    <x v="46"/>
    <d v="1899-12-30T14:45:00"/>
    <x v="17"/>
    <n v="4"/>
    <n v="11"/>
    <s v="Shockletz"/>
    <m/>
    <m/>
    <x v="1"/>
    <x v="1"/>
    <n v="100"/>
    <s v=""/>
    <n v="-100"/>
    <x v="1"/>
    <s v=""/>
    <n v="-200"/>
    <x v="0"/>
    <n v="200"/>
    <s v=""/>
    <n v="-200"/>
    <x v="1"/>
    <s v="Thu"/>
    <s v="Shockletz"/>
  </r>
  <r>
    <x v="46"/>
    <d v="1899-12-30T15:20:00"/>
    <x v="17"/>
    <n v="5"/>
    <n v="10"/>
    <s v="Enxuto"/>
    <m/>
    <m/>
    <x v="1"/>
    <x v="1"/>
    <n v="100"/>
    <s v=""/>
    <n v="-100"/>
    <x v="0"/>
    <s v=""/>
    <n v="-100"/>
    <x v="0"/>
    <n v="100"/>
    <s v=""/>
    <n v="-100"/>
    <x v="1"/>
    <s v="Thu"/>
    <s v="Enxuto"/>
  </r>
  <r>
    <x v="46"/>
    <d v="1899-12-30T15:20:00"/>
    <x v="17"/>
    <n v="5"/>
    <n v="6"/>
    <s v="Oh Too Good"/>
    <m/>
    <m/>
    <x v="0"/>
    <x v="1"/>
    <n v="100"/>
    <s v=""/>
    <n v="-100"/>
    <x v="0"/>
    <s v=""/>
    <n v="-100"/>
    <x v="0"/>
    <n v="100"/>
    <s v=""/>
    <n v="-100"/>
    <x v="1"/>
    <s v="Thu"/>
    <s v="Oh Too Good"/>
  </r>
  <r>
    <x v="46"/>
    <d v="1899-12-30T15:20:00"/>
    <x v="17"/>
    <n v="5"/>
    <n v="8"/>
    <s v="Poison Chalice"/>
    <s v="3rd"/>
    <m/>
    <x v="0"/>
    <x v="1"/>
    <n v="100"/>
    <s v=""/>
    <n v="-100"/>
    <x v="0"/>
    <s v=""/>
    <n v="-100"/>
    <x v="0"/>
    <n v="100"/>
    <s v=""/>
    <n v="-100"/>
    <x v="1"/>
    <s v="Thu"/>
    <s v="Poison Chalice"/>
  </r>
  <r>
    <x v="46"/>
    <d v="1899-12-30T18:50:00"/>
    <x v="17"/>
    <n v="9"/>
    <n v="8"/>
    <s v="Major Share"/>
    <s v="2nd"/>
    <m/>
    <x v="0"/>
    <x v="1"/>
    <n v="100"/>
    <s v=""/>
    <n v="-100"/>
    <x v="4"/>
    <s v=""/>
    <n v="-50"/>
    <x v="0"/>
    <n v="50"/>
    <s v=""/>
    <n v="-50"/>
    <x v="1"/>
    <s v="Thu"/>
    <s v="Major Share"/>
  </r>
  <r>
    <x v="47"/>
    <d v="1899-12-30T12:32:00"/>
    <x v="4"/>
    <n v="1"/>
    <n v="4"/>
    <s v="Kinross Lane"/>
    <m/>
    <m/>
    <x v="1"/>
    <x v="2"/>
    <n v="100"/>
    <s v=""/>
    <n v="-100"/>
    <x v="0"/>
    <s v=""/>
    <n v="-100"/>
    <x v="0"/>
    <n v="100"/>
    <s v=""/>
    <n v="-100"/>
    <x v="1"/>
    <s v="Sat"/>
    <s v="Kinross Lane"/>
  </r>
  <r>
    <x v="47"/>
    <d v="1899-12-30T13:15:00"/>
    <x v="17"/>
    <n v="2"/>
    <n v="2"/>
    <s v="Sabaj"/>
    <s v="1st"/>
    <n v="2.8"/>
    <x v="1"/>
    <x v="1"/>
    <n v="100"/>
    <n v="280"/>
    <n v="180"/>
    <x v="0"/>
    <n v="280"/>
    <n v="180"/>
    <x v="0"/>
    <n v="100"/>
    <n v="280"/>
    <n v="180"/>
    <x v="1"/>
    <s v="Sat"/>
    <s v="Sabaj"/>
  </r>
  <r>
    <x v="47"/>
    <d v="1899-12-30T13:35:00"/>
    <x v="5"/>
    <n v="3"/>
    <n v="10"/>
    <s v="Presley"/>
    <m/>
    <m/>
    <x v="0"/>
    <x v="0"/>
    <n v="100"/>
    <s v=""/>
    <n v="-100"/>
    <x v="0"/>
    <s v=""/>
    <n v="-100"/>
    <x v="0"/>
    <n v="100"/>
    <s v=""/>
    <n v="-100"/>
    <x v="1"/>
    <s v="Sat"/>
    <s v="Presley"/>
  </r>
  <r>
    <x v="47"/>
    <d v="1899-12-30T13:42:00"/>
    <x v="4"/>
    <n v="3"/>
    <n v="1"/>
    <s v="First Mission"/>
    <s v="2nd"/>
    <m/>
    <x v="1"/>
    <x v="2"/>
    <n v="100"/>
    <s v=""/>
    <n v="-100"/>
    <x v="0"/>
    <s v=""/>
    <n v="-100"/>
    <x v="0"/>
    <n v="100"/>
    <s v=""/>
    <n v="-100"/>
    <x v="1"/>
    <s v="Sat"/>
    <s v="First Mission"/>
  </r>
  <r>
    <x v="47"/>
    <d v="1899-12-30T13:50:00"/>
    <x v="17"/>
    <n v="3"/>
    <n v="15"/>
    <s v="Big Swinger"/>
    <s v="3rd"/>
    <m/>
    <x v="0"/>
    <x v="1"/>
    <n v="100"/>
    <s v=""/>
    <n v="-100"/>
    <x v="0"/>
    <s v=""/>
    <n v="-100"/>
    <x v="0"/>
    <n v="100"/>
    <s v=""/>
    <n v="-100"/>
    <x v="1"/>
    <s v="Sat"/>
    <s v="Big Swinger"/>
  </r>
  <r>
    <x v="47"/>
    <d v="1899-12-30T13:50:00"/>
    <x v="17"/>
    <n v="3"/>
    <n v="2"/>
    <s v="Nadal"/>
    <m/>
    <m/>
    <x v="1"/>
    <x v="1"/>
    <n v="100"/>
    <s v=""/>
    <n v="-100"/>
    <x v="0"/>
    <s v=""/>
    <n v="-100"/>
    <x v="0"/>
    <n v="100"/>
    <s v=""/>
    <n v="-100"/>
    <x v="1"/>
    <s v="Sat"/>
    <s v="Nadal"/>
  </r>
  <r>
    <x v="47"/>
    <d v="1899-12-30T14:10:00"/>
    <x v="5"/>
    <n v="4"/>
    <n v="1"/>
    <s v="Midnight Dynamite"/>
    <m/>
    <m/>
    <x v="0"/>
    <x v="0"/>
    <n v="100"/>
    <s v=""/>
    <n v="-100"/>
    <x v="3"/>
    <s v=""/>
    <n v="-150"/>
    <x v="0"/>
    <n v="150"/>
    <s v=""/>
    <n v="-150"/>
    <x v="1"/>
    <s v="Sat"/>
    <s v="Midnight Dynamite"/>
  </r>
  <r>
    <x v="47"/>
    <d v="1899-12-30T14:22:00"/>
    <x v="4"/>
    <n v="4"/>
    <n v="5"/>
    <s v="Voracious"/>
    <m/>
    <m/>
    <x v="1"/>
    <x v="2"/>
    <n v="100"/>
    <s v=""/>
    <n v="-100"/>
    <x v="0"/>
    <s v=""/>
    <n v="-100"/>
    <x v="0"/>
    <n v="100"/>
    <s v=""/>
    <n v="-100"/>
    <x v="1"/>
    <s v="Sat"/>
    <s v="Voracious"/>
  </r>
  <r>
    <x v="47"/>
    <d v="1899-12-30T15:02:00"/>
    <x v="4"/>
    <n v="5"/>
    <n v="11"/>
    <s v="Lyles"/>
    <s v="1st"/>
    <n v="2.4"/>
    <x v="1"/>
    <x v="2"/>
    <n v="100"/>
    <n v="240"/>
    <n v="140"/>
    <x v="0"/>
    <n v="240"/>
    <n v="140"/>
    <x v="0"/>
    <n v="100"/>
    <n v="240"/>
    <n v="140"/>
    <x v="1"/>
    <s v="Sat"/>
    <s v="Lyles"/>
  </r>
  <r>
    <x v="47"/>
    <d v="1899-12-30T16:10:00"/>
    <x v="5"/>
    <n v="7"/>
    <n v="2"/>
    <s v="Miss Roumbini"/>
    <m/>
    <m/>
    <x v="0"/>
    <x v="0"/>
    <n v="100"/>
    <s v=""/>
    <n v="-100"/>
    <x v="1"/>
    <s v=""/>
    <n v="-200"/>
    <x v="1"/>
    <n v="175"/>
    <s v=""/>
    <n v="-175"/>
    <x v="1"/>
    <s v="Sat"/>
    <s v="Miss Roumbini"/>
  </r>
  <r>
    <x v="47"/>
    <d v="1899-12-30T16:10:00"/>
    <x v="5"/>
    <n v="7"/>
    <n v="2"/>
    <s v="Miss Roumbini"/>
    <m/>
    <m/>
    <x v="1"/>
    <x v="0"/>
    <n v="100"/>
    <s v=""/>
    <n v="-100"/>
    <x v="3"/>
    <s v=""/>
    <n v="-150"/>
    <x v="0"/>
    <s v=""/>
    <s v=""/>
    <s v=""/>
    <x v="1"/>
    <s v="Sat"/>
    <s v="Miss Roumbini"/>
  </r>
  <r>
    <x v="47"/>
    <d v="1899-12-30T18:05:00"/>
    <x v="5"/>
    <n v="10"/>
    <n v="9"/>
    <s v="Frosty Girl"/>
    <s v="3rd"/>
    <m/>
    <x v="0"/>
    <x v="0"/>
    <n v="100"/>
    <s v=""/>
    <n v="-100"/>
    <x v="1"/>
    <s v=""/>
    <n v="-200"/>
    <x v="1"/>
    <n v="175"/>
    <s v=""/>
    <n v="-175"/>
    <x v="1"/>
    <s v="Sat"/>
    <s v="Frosty Girl"/>
  </r>
  <r>
    <x v="47"/>
    <d v="1899-12-30T18:05:00"/>
    <x v="5"/>
    <n v="10"/>
    <n v="9"/>
    <s v="Frosty Girl"/>
    <s v="3rd"/>
    <m/>
    <x v="1"/>
    <x v="0"/>
    <n v="100"/>
    <s v=""/>
    <n v="-100"/>
    <x v="3"/>
    <s v=""/>
    <n v="-150"/>
    <x v="0"/>
    <s v=""/>
    <s v=""/>
    <s v=""/>
    <x v="1"/>
    <s v="Sat"/>
    <s v="Frosty Girl"/>
  </r>
  <r>
    <x v="47"/>
    <d v="1899-12-30T18:20:00"/>
    <x v="4"/>
    <n v="10"/>
    <n v="1"/>
    <s v="Epic Proportions"/>
    <s v="2nd"/>
    <m/>
    <x v="1"/>
    <x v="2"/>
    <n v="100"/>
    <s v=""/>
    <n v="-100"/>
    <x v="0"/>
    <s v=""/>
    <n v="-100"/>
    <x v="0"/>
    <n v="100"/>
    <s v=""/>
    <n v="-100"/>
    <x v="1"/>
    <s v="Sat"/>
    <s v="Epic Proportions"/>
  </r>
  <r>
    <x v="48"/>
    <d v="1899-12-30T12:50:00"/>
    <x v="9"/>
    <n v="2"/>
    <n v="1"/>
    <s v="Black Run"/>
    <s v="1st"/>
    <n v="3.6"/>
    <x v="0"/>
    <x v="1"/>
    <n v="100"/>
    <n v="360"/>
    <n v="260"/>
    <x v="3"/>
    <n v="540"/>
    <n v="390"/>
    <x v="0"/>
    <n v="150"/>
    <n v="540"/>
    <n v="390"/>
    <x v="1"/>
    <s v="Sat"/>
    <s v="Black Run"/>
  </r>
  <r>
    <x v="48"/>
    <d v="1899-12-30T12:50:00"/>
    <x v="9"/>
    <n v="2"/>
    <n v="13"/>
    <s v="Hot Too Go"/>
    <m/>
    <m/>
    <x v="0"/>
    <x v="1"/>
    <n v="100"/>
    <s v=""/>
    <n v="-100"/>
    <x v="3"/>
    <s v=""/>
    <n v="-150"/>
    <x v="0"/>
    <n v="150"/>
    <s v=""/>
    <n v="-150"/>
    <x v="1"/>
    <s v="Sat"/>
    <s v="Hot Too Go"/>
  </r>
  <r>
    <x v="48"/>
    <d v="1899-12-30T13:10:00"/>
    <x v="18"/>
    <n v="2"/>
    <n v="9"/>
    <s v="Strawberry Impact"/>
    <s v="3rd"/>
    <m/>
    <x v="0"/>
    <x v="0"/>
    <n v="100"/>
    <s v=""/>
    <n v="-100"/>
    <x v="1"/>
    <s v=""/>
    <n v="-200"/>
    <x v="1"/>
    <n v="175"/>
    <s v=""/>
    <n v="-175"/>
    <x v="1"/>
    <s v="Sat"/>
    <s v="Strawberry Impact"/>
  </r>
  <r>
    <x v="48"/>
    <d v="1899-12-30T13:10:00"/>
    <x v="18"/>
    <n v="2"/>
    <n v="9"/>
    <s v="Strawberry Impact"/>
    <s v="3rd"/>
    <m/>
    <x v="1"/>
    <x v="0"/>
    <n v="100"/>
    <s v=""/>
    <n v="-100"/>
    <x v="3"/>
    <s v=""/>
    <n v="-150"/>
    <x v="0"/>
    <s v=""/>
    <s v=""/>
    <s v=""/>
    <x v="1"/>
    <s v="Sat"/>
    <s v="Strawberry Impact"/>
  </r>
  <r>
    <x v="48"/>
    <d v="1899-12-30T13:25:00"/>
    <x v="9"/>
    <n v="3"/>
    <n v="7"/>
    <s v="Nearing Liberty"/>
    <s v="2nd"/>
    <m/>
    <x v="1"/>
    <x v="1"/>
    <n v="100"/>
    <s v=""/>
    <n v="-100"/>
    <x v="0"/>
    <s v=""/>
    <n v="-100"/>
    <x v="0"/>
    <n v="100"/>
    <s v=""/>
    <n v="-100"/>
    <x v="1"/>
    <s v="Sat"/>
    <s v="Nearing Liberty"/>
  </r>
  <r>
    <x v="48"/>
    <d v="1899-12-30T14:00:00"/>
    <x v="9"/>
    <n v="4"/>
    <n v="4"/>
    <s v="Hedged"/>
    <s v="2nd"/>
    <m/>
    <x v="0"/>
    <x v="1"/>
    <n v="100"/>
    <s v=""/>
    <n v="-100"/>
    <x v="3"/>
    <s v=""/>
    <n v="-150"/>
    <x v="0"/>
    <n v="150"/>
    <s v=""/>
    <n v="-150"/>
    <x v="1"/>
    <s v="Sat"/>
    <s v="Hedged"/>
  </r>
  <r>
    <x v="48"/>
    <d v="1899-12-30T14:20:00"/>
    <x v="18"/>
    <n v="4"/>
    <n v="10"/>
    <s v="Maid Of Moolah"/>
    <s v="1st"/>
    <n v="3.2"/>
    <x v="0"/>
    <x v="0"/>
    <n v="100"/>
    <n v="320"/>
    <n v="220"/>
    <x v="6"/>
    <n v="448"/>
    <n v="308"/>
    <x v="0"/>
    <n v="140"/>
    <n v="448"/>
    <n v="308"/>
    <x v="1"/>
    <s v="Sat"/>
    <s v="Maid Of Moolah"/>
  </r>
  <r>
    <x v="48"/>
    <d v="1899-12-30T14:20:00"/>
    <x v="18"/>
    <n v="4"/>
    <n v="5"/>
    <s v="Rubis Serve"/>
    <s v="3rd"/>
    <m/>
    <x v="1"/>
    <x v="0"/>
    <n v="100"/>
    <s v=""/>
    <n v="-100"/>
    <x v="3"/>
    <s v=""/>
    <n v="-150"/>
    <x v="0"/>
    <n v="150"/>
    <s v=""/>
    <n v="-150"/>
    <x v="1"/>
    <s v="Sat"/>
    <s v="Rubis Serve"/>
  </r>
  <r>
    <x v="48"/>
    <d v="1899-12-30T14:35:00"/>
    <x v="9"/>
    <n v="5"/>
    <n v="7"/>
    <s v="Brave Miss"/>
    <m/>
    <m/>
    <x v="0"/>
    <x v="1"/>
    <n v="100"/>
    <s v=""/>
    <n v="-100"/>
    <x v="4"/>
    <s v=""/>
    <n v="-50"/>
    <x v="1"/>
    <n v="125"/>
    <s v=""/>
    <n v="-125"/>
    <x v="1"/>
    <s v="Sat"/>
    <s v="Brave Miss"/>
  </r>
  <r>
    <x v="48"/>
    <d v="1899-12-30T14:35:00"/>
    <x v="9"/>
    <n v="5"/>
    <n v="7"/>
    <s v="Brave Miss"/>
    <m/>
    <m/>
    <x v="1"/>
    <x v="1"/>
    <n v="100"/>
    <s v=""/>
    <n v="-100"/>
    <x v="1"/>
    <s v=""/>
    <n v="-200"/>
    <x v="0"/>
    <s v=""/>
    <s v=""/>
    <s v=""/>
    <x v="1"/>
    <s v="Sat"/>
    <s v="Brave Miss"/>
  </r>
  <r>
    <x v="48"/>
    <d v="1899-12-30T14:55:00"/>
    <x v="18"/>
    <n v="5"/>
    <n v="4"/>
    <s v="Meridiana"/>
    <s v="1st"/>
    <n v="2.4500000000000002"/>
    <x v="0"/>
    <x v="0"/>
    <n v="100"/>
    <n v="245.00000000000003"/>
    <n v="145.00000000000003"/>
    <x v="6"/>
    <n v="343"/>
    <n v="203"/>
    <x v="0"/>
    <n v="140"/>
    <n v="343"/>
    <n v="203"/>
    <x v="1"/>
    <s v="Sat"/>
    <s v="Meridiana"/>
  </r>
  <r>
    <x v="48"/>
    <d v="1899-12-30T14:55:00"/>
    <x v="18"/>
    <n v="5"/>
    <n v="8"/>
    <s v="Rotagilla"/>
    <s v="2nd"/>
    <m/>
    <x v="1"/>
    <x v="0"/>
    <n v="100"/>
    <s v=""/>
    <n v="-100"/>
    <x v="3"/>
    <s v=""/>
    <n v="-150"/>
    <x v="0"/>
    <n v="150"/>
    <s v=""/>
    <n v="-150"/>
    <x v="1"/>
    <s v="Sat"/>
    <s v="Rotagilla"/>
  </r>
  <r>
    <x v="48"/>
    <d v="1899-12-30T15:10:00"/>
    <x v="9"/>
    <n v="6"/>
    <n v="3"/>
    <s v="Pop Award"/>
    <m/>
    <m/>
    <x v="1"/>
    <x v="1"/>
    <n v="100"/>
    <s v=""/>
    <n v="-100"/>
    <x v="0"/>
    <s v=""/>
    <n v="-100"/>
    <x v="0"/>
    <n v="100"/>
    <s v=""/>
    <n v="-100"/>
    <x v="1"/>
    <s v="Sat"/>
    <s v="Pop Award"/>
  </r>
  <r>
    <x v="48"/>
    <d v="1899-12-30T15:10:00"/>
    <x v="9"/>
    <n v="6"/>
    <n v="8"/>
    <s v="Vestas"/>
    <m/>
    <m/>
    <x v="0"/>
    <x v="1"/>
    <n v="100"/>
    <s v=""/>
    <n v="-100"/>
    <x v="0"/>
    <s v=""/>
    <n v="-100"/>
    <x v="0"/>
    <n v="100"/>
    <s v=""/>
    <n v="-100"/>
    <x v="1"/>
    <s v="Sat"/>
    <s v="Vestas"/>
  </r>
  <r>
    <x v="48"/>
    <d v="1899-12-30T16:45:00"/>
    <x v="18"/>
    <n v="8"/>
    <n v="16"/>
    <s v="Clear Thinking"/>
    <m/>
    <m/>
    <x v="0"/>
    <x v="0"/>
    <n v="100"/>
    <s v=""/>
    <n v="-100"/>
    <x v="0"/>
    <s v=""/>
    <n v="-100"/>
    <x v="0"/>
    <n v="100"/>
    <s v=""/>
    <n v="-100"/>
    <x v="1"/>
    <s v="Sat"/>
    <s v="Clear Thinking"/>
  </r>
  <r>
    <x v="48"/>
    <d v="1899-12-30T17:20:00"/>
    <x v="18"/>
    <n v="9"/>
    <n v="6"/>
    <s v="Grand Pierro"/>
    <m/>
    <m/>
    <x v="0"/>
    <x v="0"/>
    <n v="100"/>
    <s v=""/>
    <n v="-100"/>
    <x v="0"/>
    <s v=""/>
    <n v="-100"/>
    <x v="0"/>
    <n v="100"/>
    <s v=""/>
    <n v="-100"/>
    <x v="1"/>
    <s v="Sat"/>
    <s v="Grand Pierro"/>
  </r>
  <r>
    <x v="48"/>
    <d v="1899-12-30T17:40:00"/>
    <x v="9"/>
    <n v="10"/>
    <n v="7"/>
    <s v="Taken"/>
    <s v="1st"/>
    <n v="4.4000000000000004"/>
    <x v="0"/>
    <x v="1"/>
    <n v="100"/>
    <n v="440.00000000000006"/>
    <n v="340.00000000000006"/>
    <x v="0"/>
    <n v="440.00000000000006"/>
    <n v="340.00000000000006"/>
    <x v="0"/>
    <n v="100"/>
    <n v="440.00000000000006"/>
    <n v="340.00000000000006"/>
    <x v="1"/>
    <s v="Sat"/>
    <s v="Taken"/>
  </r>
  <r>
    <x v="49"/>
    <d v="1899-12-30T14:00:00"/>
    <x v="19"/>
    <n v="4"/>
    <n v="7"/>
    <s v="Grid Girl"/>
    <s v="1st"/>
    <n v="4.8"/>
    <x v="0"/>
    <x v="1"/>
    <n v="100"/>
    <n v="480"/>
    <n v="380"/>
    <x v="0"/>
    <n v="480"/>
    <n v="380"/>
    <x v="0"/>
    <n v="100"/>
    <n v="480"/>
    <n v="380"/>
    <x v="1"/>
    <s v="Sat"/>
    <s v="Grid Girl"/>
  </r>
  <r>
    <x v="49"/>
    <d v="1899-12-30T14:55:00"/>
    <x v="20"/>
    <n v="5"/>
    <n v="1"/>
    <s v="Hurstville Zagreb"/>
    <m/>
    <m/>
    <x v="0"/>
    <x v="0"/>
    <n v="100"/>
    <s v=""/>
    <n v="-100"/>
    <x v="1"/>
    <s v=""/>
    <n v="-200"/>
    <x v="1"/>
    <n v="175"/>
    <s v=""/>
    <n v="-175"/>
    <x v="1"/>
    <s v="Sat"/>
    <s v="Hurstville Zagreb"/>
  </r>
  <r>
    <x v="49"/>
    <d v="1899-12-30T14:55:00"/>
    <x v="20"/>
    <n v="5"/>
    <n v="1"/>
    <s v="Hurstville Zagreb"/>
    <m/>
    <m/>
    <x v="1"/>
    <x v="0"/>
    <n v="100"/>
    <s v=""/>
    <n v="-100"/>
    <x v="3"/>
    <s v=""/>
    <n v="-150"/>
    <x v="0"/>
    <s v=""/>
    <s v=""/>
    <s v=""/>
    <x v="1"/>
    <s v="Sat"/>
    <s v="Hurstville Zagreb"/>
  </r>
  <r>
    <x v="49"/>
    <d v="1899-12-30T15:10:00"/>
    <x v="19"/>
    <n v="5"/>
    <n v="8"/>
    <s v="Hurry Curry"/>
    <m/>
    <m/>
    <x v="0"/>
    <x v="1"/>
    <n v="100"/>
    <s v=""/>
    <n v="-100"/>
    <x v="0"/>
    <s v=""/>
    <n v="-100"/>
    <x v="0"/>
    <n v="100"/>
    <s v=""/>
    <n v="-100"/>
    <x v="1"/>
    <s v="Sat"/>
    <s v="Hurry Curry"/>
  </r>
  <r>
    <x v="49"/>
    <d v="1899-12-30T15:10:00"/>
    <x v="19"/>
    <n v="5"/>
    <n v="5"/>
    <s v="Shockletz"/>
    <m/>
    <m/>
    <x v="0"/>
    <x v="1"/>
    <n v="100"/>
    <s v=""/>
    <n v="-100"/>
    <x v="0"/>
    <s v=""/>
    <n v="-100"/>
    <x v="0"/>
    <n v="100"/>
    <s v=""/>
    <n v="-100"/>
    <x v="1"/>
    <s v="Sat"/>
    <s v="Shockletz"/>
  </r>
  <r>
    <x v="49"/>
    <d v="1899-12-30T15:45:00"/>
    <x v="19"/>
    <n v="7"/>
    <n v="1"/>
    <s v="Mytemptation"/>
    <m/>
    <m/>
    <x v="0"/>
    <x v="1"/>
    <n v="100"/>
    <s v=""/>
    <n v="-100"/>
    <x v="3"/>
    <s v=""/>
    <n v="-150"/>
    <x v="0"/>
    <n v="150"/>
    <s v=""/>
    <n v="-150"/>
    <x v="1"/>
    <s v="Sat"/>
    <s v="Mytemptation"/>
  </r>
  <r>
    <x v="49"/>
    <d v="1899-12-30T16:25:00"/>
    <x v="19"/>
    <n v="8"/>
    <n v="15"/>
    <s v="Sabaj"/>
    <s v="1st"/>
    <n v="3.4"/>
    <x v="0"/>
    <x v="1"/>
    <n v="100"/>
    <n v="340"/>
    <n v="240"/>
    <x v="3"/>
    <n v="510"/>
    <n v="360"/>
    <x v="0"/>
    <n v="150"/>
    <n v="510"/>
    <n v="360"/>
    <x v="1"/>
    <s v="Sat"/>
    <s v="Sabaj"/>
  </r>
  <r>
    <x v="49"/>
    <d v="1899-12-30T17:40:00"/>
    <x v="19"/>
    <n v="10"/>
    <n v="5"/>
    <s v="Demojo"/>
    <m/>
    <m/>
    <x v="0"/>
    <x v="1"/>
    <n v="100"/>
    <s v=""/>
    <n v="-100"/>
    <x v="4"/>
    <s v=""/>
    <n v="-50"/>
    <x v="0"/>
    <n v="50"/>
    <s v=""/>
    <n v="-50"/>
    <x v="1"/>
    <s v="Sat"/>
    <s v="Demojo"/>
  </r>
  <r>
    <x v="49"/>
    <d v="1899-12-30T17:55:00"/>
    <x v="20"/>
    <n v="10"/>
    <n v="6"/>
    <s v="Midnight Dynamite"/>
    <s v="1st"/>
    <n v="3.7"/>
    <x v="0"/>
    <x v="0"/>
    <n v="100"/>
    <n v="370"/>
    <n v="270"/>
    <x v="0"/>
    <n v="370"/>
    <n v="270"/>
    <x v="0"/>
    <n v="100"/>
    <n v="370"/>
    <n v="270"/>
    <x v="1"/>
    <s v="Sat"/>
    <s v="Midnight Dynamite"/>
  </r>
  <r>
    <x v="50"/>
    <d v="1899-12-30T12:20:00"/>
    <x v="9"/>
    <n v="1"/>
    <n v="8"/>
    <s v="Tikemyson"/>
    <s v="3rd"/>
    <m/>
    <x v="0"/>
    <x v="1"/>
    <n v="100"/>
    <s v=""/>
    <n v="-100"/>
    <x v="0"/>
    <s v=""/>
    <n v="-100"/>
    <x v="0"/>
    <n v="100"/>
    <s v=""/>
    <n v="-100"/>
    <x v="1"/>
    <s v="Sat"/>
    <s v="Tikemyson"/>
  </r>
  <r>
    <x v="50"/>
    <d v="1899-12-30T13:18:00"/>
    <x v="7"/>
    <n v="2"/>
    <n v="9"/>
    <s v="Amahnis Girl"/>
    <s v="2nd"/>
    <m/>
    <x v="1"/>
    <x v="2"/>
    <n v="100"/>
    <s v=""/>
    <n v="-100"/>
    <x v="0"/>
    <s v=""/>
    <n v="-100"/>
    <x v="0"/>
    <n v="100"/>
    <s v=""/>
    <n v="-100"/>
    <x v="1"/>
    <s v="Sat"/>
    <s v="Amahnis Girl"/>
  </r>
  <r>
    <x v="50"/>
    <d v="1899-12-30T14:28:00"/>
    <x v="7"/>
    <n v="4"/>
    <n v="10"/>
    <s v="Navyonthehighway"/>
    <s v="3rd"/>
    <m/>
    <x v="1"/>
    <x v="2"/>
    <n v="100"/>
    <s v=""/>
    <n v="-100"/>
    <x v="0"/>
    <s v=""/>
    <n v="-100"/>
    <x v="0"/>
    <n v="100"/>
    <s v=""/>
    <n v="-100"/>
    <x v="1"/>
    <s v="Sat"/>
    <s v="Navyonthehighway"/>
  </r>
  <r>
    <x v="50"/>
    <d v="1899-12-30T14:55:00"/>
    <x v="5"/>
    <n v="5"/>
    <n v="1"/>
    <s v="King'S Secret"/>
    <s v="Ntd"/>
    <m/>
    <x v="0"/>
    <x v="0"/>
    <n v="100"/>
    <s v=""/>
    <n v="-100"/>
    <x v="0"/>
    <s v=""/>
    <n v="-100"/>
    <x v="0"/>
    <n v="100"/>
    <s v=""/>
    <n v="-100"/>
    <x v="1"/>
    <s v="Sat"/>
    <s v="King'S Secret"/>
  </r>
  <r>
    <x v="50"/>
    <d v="1899-12-30T14:55:00"/>
    <x v="5"/>
    <n v="5"/>
    <n v="3"/>
    <s v="Lyles"/>
    <s v="1st"/>
    <n v="1.7"/>
    <x v="1"/>
    <x v="0"/>
    <n v="100"/>
    <n v="170"/>
    <n v="70"/>
    <x v="3"/>
    <n v="255"/>
    <n v="105"/>
    <x v="0"/>
    <n v="150"/>
    <n v="255"/>
    <n v="105"/>
    <x v="1"/>
    <s v="Sat"/>
    <s v="Lyles"/>
  </r>
  <r>
    <x v="50"/>
    <d v="1899-12-30T15:03:00"/>
    <x v="7"/>
    <n v="5"/>
    <n v="9"/>
    <s v="Balance The Books"/>
    <s v="1st"/>
    <n v="1.65"/>
    <x v="1"/>
    <x v="2"/>
    <n v="100"/>
    <n v="165"/>
    <n v="65"/>
    <x v="0"/>
    <n v="165"/>
    <n v="65"/>
    <x v="0"/>
    <n v="100"/>
    <n v="165"/>
    <n v="65"/>
    <x v="1"/>
    <s v="Sat"/>
    <s v="Balance The Books"/>
  </r>
  <r>
    <x v="50"/>
    <d v="1899-12-30T15:38:00"/>
    <x v="7"/>
    <n v="6"/>
    <n v="12"/>
    <s v="Now Is The Hour"/>
    <s v="2nd"/>
    <m/>
    <x v="1"/>
    <x v="2"/>
    <n v="100"/>
    <s v=""/>
    <n v="-100"/>
    <x v="0"/>
    <s v=""/>
    <n v="-100"/>
    <x v="0"/>
    <n v="100"/>
    <s v=""/>
    <n v="-100"/>
    <x v="1"/>
    <s v="Sat"/>
    <s v="Now Is The Hour"/>
  </r>
  <r>
    <x v="50"/>
    <d v="1899-12-30T15:45:00"/>
    <x v="9"/>
    <n v="7"/>
    <n v="5"/>
    <s v="Poison Chalice"/>
    <m/>
    <m/>
    <x v="0"/>
    <x v="1"/>
    <n v="100"/>
    <s v=""/>
    <n v="-100"/>
    <x v="1"/>
    <s v=""/>
    <n v="-200"/>
    <x v="1"/>
    <n v="200"/>
    <s v=""/>
    <n v="-200"/>
    <x v="1"/>
    <s v="Sat"/>
    <s v="Poison Chalice"/>
  </r>
  <r>
    <x v="50"/>
    <d v="1899-12-30T15:45:00"/>
    <x v="9"/>
    <n v="7"/>
    <n v="5"/>
    <s v="Poison Chalice"/>
    <m/>
    <m/>
    <x v="1"/>
    <x v="1"/>
    <n v="100"/>
    <s v=""/>
    <n v="-100"/>
    <x v="1"/>
    <s v=""/>
    <n v="-200"/>
    <x v="0"/>
    <s v=""/>
    <s v=""/>
    <s v=""/>
    <x v="1"/>
    <s v="Sat"/>
    <s v="Poison Chalice"/>
  </r>
  <r>
    <x v="50"/>
    <d v="1899-12-30T16:25:00"/>
    <x v="9"/>
    <n v="8"/>
    <n v="14"/>
    <s v="She'S A Hustler"/>
    <s v="1st"/>
    <n v="3.1"/>
    <x v="0"/>
    <x v="1"/>
    <n v="100"/>
    <n v="310"/>
    <n v="210"/>
    <x v="3"/>
    <n v="465"/>
    <n v="315"/>
    <x v="0"/>
    <n v="150"/>
    <n v="465"/>
    <n v="315"/>
    <x v="1"/>
    <s v="Sat"/>
    <s v="She'S A Hustler"/>
  </r>
  <r>
    <x v="50"/>
    <d v="1899-12-30T17:05:00"/>
    <x v="9"/>
    <n v="9"/>
    <n v="6"/>
    <s v="Boston Rocks"/>
    <s v="2nd"/>
    <m/>
    <x v="0"/>
    <x v="1"/>
    <n v="100"/>
    <s v=""/>
    <n v="-100"/>
    <x v="5"/>
    <s v=""/>
    <n v="-160"/>
    <x v="0"/>
    <n v="160"/>
    <s v=""/>
    <n v="-160"/>
    <x v="1"/>
    <s v="Sat"/>
    <s v="Boston Rocks"/>
  </r>
  <r>
    <x v="50"/>
    <d v="1899-12-30T17:05:00"/>
    <x v="9"/>
    <n v="9"/>
    <n v="10"/>
    <s v="Grand Larceny"/>
    <m/>
    <m/>
    <x v="0"/>
    <x v="1"/>
    <n v="100"/>
    <s v=""/>
    <n v="-100"/>
    <x v="5"/>
    <s v=""/>
    <n v="-160"/>
    <x v="1"/>
    <n v="180"/>
    <s v=""/>
    <n v="-180"/>
    <x v="1"/>
    <s v="Sat"/>
    <s v="Grand Larceny"/>
  </r>
  <r>
    <x v="50"/>
    <d v="1899-12-30T17:05:00"/>
    <x v="9"/>
    <n v="9"/>
    <n v="10"/>
    <s v="Grand Larceny"/>
    <m/>
    <m/>
    <x v="1"/>
    <x v="1"/>
    <n v="100"/>
    <s v=""/>
    <n v="-100"/>
    <x v="1"/>
    <s v=""/>
    <n v="-200"/>
    <x v="0"/>
    <s v=""/>
    <s v=""/>
    <s v=""/>
    <x v="1"/>
    <s v="Sat"/>
    <s v="Grand Larceny"/>
  </r>
  <r>
    <x v="50"/>
    <d v="1899-12-30T17:32:00"/>
    <x v="7"/>
    <n v="9"/>
    <n v="11"/>
    <s v="Voracious"/>
    <m/>
    <m/>
    <x v="1"/>
    <x v="2"/>
    <n v="100"/>
    <s v=""/>
    <n v="-100"/>
    <x v="0"/>
    <s v=""/>
    <n v="-100"/>
    <x v="0"/>
    <n v="100"/>
    <s v=""/>
    <n v="-100"/>
    <x v="1"/>
    <s v="Sat"/>
    <s v="Voracious"/>
  </r>
  <r>
    <x v="50"/>
    <d v="1899-12-30T18:10:00"/>
    <x v="7"/>
    <n v="10"/>
    <n v="19"/>
    <s v="Bossed Up"/>
    <s v="1st"/>
    <n v="2.8"/>
    <x v="1"/>
    <x v="2"/>
    <n v="100"/>
    <n v="280"/>
    <n v="180"/>
    <x v="0"/>
    <n v="280"/>
    <n v="180"/>
    <x v="0"/>
    <n v="100"/>
    <n v="280"/>
    <n v="180"/>
    <x v="1"/>
    <s v="Sat"/>
    <s v="Bossed Up"/>
  </r>
  <r>
    <x v="51"/>
    <d v="1899-12-30T12:20:00"/>
    <x v="21"/>
    <n v="1"/>
    <n v="2"/>
    <s v="Maldini"/>
    <m/>
    <m/>
    <x v="1"/>
    <x v="1"/>
    <n v="100"/>
    <s v=""/>
    <n v="-100"/>
    <x v="3"/>
    <s v=""/>
    <n v="-150"/>
    <x v="0"/>
    <n v="150"/>
    <s v=""/>
    <n v="-150"/>
    <x v="1"/>
    <s v="Sat"/>
    <s v="Maldini"/>
  </r>
  <r>
    <x v="51"/>
    <d v="1899-12-30T13:16:00"/>
    <x v="7"/>
    <n v="1"/>
    <n v="9"/>
    <s v="The Irish"/>
    <m/>
    <m/>
    <x v="1"/>
    <x v="2"/>
    <n v="100"/>
    <s v=""/>
    <n v="-100"/>
    <x v="0"/>
    <s v=""/>
    <n v="-100"/>
    <x v="0"/>
    <n v="100"/>
    <s v=""/>
    <n v="-100"/>
    <x v="1"/>
    <s v="Sat"/>
    <s v="The Irish"/>
  </r>
  <r>
    <x v="51"/>
    <d v="1899-12-30T13:25:00"/>
    <x v="22"/>
    <n v="3"/>
    <n v="1"/>
    <s v="Harry'S Yacht"/>
    <s v="2nd"/>
    <m/>
    <x v="0"/>
    <x v="1"/>
    <n v="100"/>
    <s v=""/>
    <n v="-100"/>
    <x v="3"/>
    <s v=""/>
    <n v="-150"/>
    <x v="0"/>
    <n v="150"/>
    <s v=""/>
    <n v="-150"/>
    <x v="1"/>
    <s v="Sat"/>
    <s v="Harry'S Yacht"/>
  </r>
  <r>
    <x v="51"/>
    <d v="1899-12-30T15:03:00"/>
    <x v="7"/>
    <n v="4"/>
    <n v="4"/>
    <s v="Blazen Boots"/>
    <s v="2nd"/>
    <m/>
    <x v="1"/>
    <x v="2"/>
    <n v="100"/>
    <s v=""/>
    <n v="-100"/>
    <x v="0"/>
    <s v=""/>
    <n v="-100"/>
    <x v="0"/>
    <n v="100"/>
    <s v=""/>
    <n v="-100"/>
    <x v="1"/>
    <s v="Sat"/>
    <s v="Blazen Boots"/>
  </r>
  <r>
    <x v="51"/>
    <d v="1899-12-30T15:45:00"/>
    <x v="21"/>
    <n v="7"/>
    <n v="3"/>
    <s v="Major Share"/>
    <m/>
    <m/>
    <x v="0"/>
    <x v="1"/>
    <n v="100"/>
    <s v=""/>
    <n v="-100"/>
    <x v="1"/>
    <s v=""/>
    <n v="-200"/>
    <x v="0"/>
    <n v="200"/>
    <s v=""/>
    <n v="-200"/>
    <x v="1"/>
    <s v="Sat"/>
    <s v="Major Share"/>
  </r>
  <r>
    <x v="51"/>
    <d v="1899-12-30T15:45:00"/>
    <x v="21"/>
    <n v="7"/>
    <n v="10"/>
    <s v="South Of India"/>
    <s v="1st"/>
    <n v="3.6"/>
    <x v="0"/>
    <x v="1"/>
    <n v="100"/>
    <n v="360"/>
    <n v="260"/>
    <x v="0"/>
    <n v="360"/>
    <n v="260"/>
    <x v="1"/>
    <n v="150"/>
    <n v="540"/>
    <n v="390"/>
    <x v="1"/>
    <s v="Sat"/>
    <s v="South Of India"/>
  </r>
  <r>
    <x v="51"/>
    <d v="1899-12-30T15:45:00"/>
    <x v="21"/>
    <n v="7"/>
    <n v="10"/>
    <s v="South Of India"/>
    <s v="1st"/>
    <n v="3.6"/>
    <x v="1"/>
    <x v="1"/>
    <n v="100"/>
    <n v="360"/>
    <n v="260"/>
    <x v="1"/>
    <n v="720"/>
    <n v="520"/>
    <x v="0"/>
    <s v=""/>
    <s v=""/>
    <s v=""/>
    <x v="1"/>
    <s v="Sat"/>
    <s v="South Of India"/>
  </r>
  <r>
    <x v="51"/>
    <d v="1899-12-30T17:32:00"/>
    <x v="7"/>
    <n v="8"/>
    <n v="10"/>
    <s v="Epic Proportions"/>
    <m/>
    <m/>
    <x v="1"/>
    <x v="2"/>
    <n v="100"/>
    <s v=""/>
    <n v="-100"/>
    <x v="0"/>
    <s v=""/>
    <n v="-100"/>
    <x v="0"/>
    <n v="100"/>
    <s v=""/>
    <n v="-100"/>
    <x v="1"/>
    <s v="Sat"/>
    <s v="Epic Proportions"/>
  </r>
  <r>
    <x v="52"/>
    <d v="1899-12-30T12:15:00"/>
    <x v="5"/>
    <n v="1"/>
    <n v="4"/>
    <s v="Cape Byron"/>
    <s v="2nd"/>
    <m/>
    <x v="0"/>
    <x v="0"/>
    <n v="100"/>
    <s v=""/>
    <n v="-100"/>
    <x v="0"/>
    <s v=""/>
    <n v="-100"/>
    <x v="0"/>
    <n v="100"/>
    <s v=""/>
    <n v="-100"/>
    <x v="1"/>
    <s v="Sun"/>
    <s v="Cape Byron"/>
  </r>
  <r>
    <x v="52"/>
    <d v="1899-12-30T14:00:00"/>
    <x v="5"/>
    <n v="4"/>
    <n v="2"/>
    <s v="Dark Simba"/>
    <m/>
    <m/>
    <x v="1"/>
    <x v="0"/>
    <n v="100"/>
    <s v=""/>
    <n v="-100"/>
    <x v="3"/>
    <s v=""/>
    <n v="-150"/>
    <x v="0"/>
    <n v="150"/>
    <s v=""/>
    <n v="-150"/>
    <x v="1"/>
    <s v="Sun"/>
    <s v="Dark Simba"/>
  </r>
  <r>
    <x v="52"/>
    <d v="1899-12-30T15:10:00"/>
    <x v="5"/>
    <n v="6"/>
    <n v="6"/>
    <s v="Hawker Hall"/>
    <s v="1st"/>
    <n v="2.4500000000000002"/>
    <x v="0"/>
    <x v="0"/>
    <n v="100"/>
    <n v="245.00000000000003"/>
    <n v="145.00000000000003"/>
    <x v="3"/>
    <n v="367.5"/>
    <n v="217.5"/>
    <x v="0"/>
    <n v="150"/>
    <n v="367.5"/>
    <n v="217.5"/>
    <x v="1"/>
    <s v="Sun"/>
    <s v="Hawker Hall"/>
  </r>
  <r>
    <x v="52"/>
    <d v="1899-12-30T17:00:00"/>
    <x v="5"/>
    <n v="9"/>
    <n v="4"/>
    <s v="Hurstville Zagreb"/>
    <m/>
    <m/>
    <x v="0"/>
    <x v="0"/>
    <n v="100"/>
    <s v=""/>
    <n v="-100"/>
    <x v="3"/>
    <s v=""/>
    <n v="-150"/>
    <x v="0"/>
    <n v="150"/>
    <s v=""/>
    <n v="-150"/>
    <x v="1"/>
    <s v="Sun"/>
    <s v="Hurstville Zagreb"/>
  </r>
  <r>
    <x v="52"/>
    <d v="1899-12-30T17:40:00"/>
    <x v="5"/>
    <n v="10"/>
    <n v="13"/>
    <s v="Applaud"/>
    <s v="2nd"/>
    <m/>
    <x v="1"/>
    <x v="0"/>
    <n v="100"/>
    <s v=""/>
    <n v="-100"/>
    <x v="3"/>
    <s v=""/>
    <n v="-150"/>
    <x v="0"/>
    <n v="150"/>
    <s v=""/>
    <n v="-150"/>
    <x v="1"/>
    <s v="Sun"/>
    <s v="Applaud"/>
  </r>
  <r>
    <x v="53"/>
    <d v="1899-12-30T12:30:00"/>
    <x v="0"/>
    <n v="1"/>
    <n v="9"/>
    <s v="Waku Waku"/>
    <m/>
    <m/>
    <x v="1"/>
    <x v="0"/>
    <n v="100"/>
    <s v=""/>
    <n v="-100"/>
    <x v="3"/>
    <s v=""/>
    <n v="-150"/>
    <x v="0"/>
    <n v="150"/>
    <s v=""/>
    <n v="-150"/>
    <x v="1"/>
    <s v="Sat"/>
    <s v="Waku Waku"/>
  </r>
  <r>
    <x v="53"/>
    <d v="1899-12-30T13:20:00"/>
    <x v="23"/>
    <n v="4.8"/>
    <n v="3"/>
    <s v="I Only Wish"/>
    <s v="2nd"/>
    <m/>
    <x v="0"/>
    <x v="1"/>
    <n v="100"/>
    <s v=""/>
    <n v="-100"/>
    <x v="2"/>
    <s v=""/>
    <n v="-120"/>
    <x v="0"/>
    <n v="120"/>
    <s v=""/>
    <n v="-120"/>
    <x v="1"/>
    <s v="Sat"/>
    <s v="I Only Wish"/>
  </r>
  <r>
    <x v="53"/>
    <d v="1899-12-30T13:20:00"/>
    <x v="23"/>
    <n v="2.6"/>
    <n v="3"/>
    <s v="Jenni Gone Bonkers"/>
    <s v="1st"/>
    <n v="2.6"/>
    <x v="0"/>
    <x v="1"/>
    <n v="100"/>
    <n v="260"/>
    <n v="160"/>
    <x v="0"/>
    <n v="260"/>
    <n v="160"/>
    <x v="0"/>
    <n v="100"/>
    <n v="260"/>
    <n v="160"/>
    <x v="1"/>
    <s v="Sat"/>
    <s v="Jenni Gone Bonkers"/>
  </r>
  <r>
    <x v="53"/>
    <d v="1899-12-30T14:15:00"/>
    <x v="0"/>
    <n v="2.8"/>
    <n v="4"/>
    <s v="Snack Bar"/>
    <s v="2nd"/>
    <m/>
    <x v="0"/>
    <x v="0"/>
    <n v="100"/>
    <s v=""/>
    <n v="-100"/>
    <x v="3"/>
    <s v=""/>
    <n v="-150"/>
    <x v="0"/>
    <n v="150"/>
    <s v=""/>
    <n v="-150"/>
    <x v="1"/>
    <s v="Sat"/>
    <s v="Snack Bar"/>
  </r>
  <r>
    <x v="53"/>
    <d v="1899-12-30T14:58:00"/>
    <x v="4"/>
    <n v="4"/>
    <n v="7"/>
    <s v="Barberry Spur"/>
    <m/>
    <m/>
    <x v="1"/>
    <x v="2"/>
    <n v="100"/>
    <s v=""/>
    <n v="-100"/>
    <x v="0"/>
    <s v=""/>
    <n v="-100"/>
    <x v="0"/>
    <n v="100"/>
    <s v=""/>
    <n v="-100"/>
    <x v="1"/>
    <s v="Sat"/>
    <s v="Barberry Spur"/>
  </r>
  <r>
    <x v="53"/>
    <d v="1899-12-30T15:05:00"/>
    <x v="23"/>
    <n v="11"/>
    <n v="6"/>
    <s v="Hiyaam Proud"/>
    <s v="2nd"/>
    <m/>
    <x v="0"/>
    <x v="1"/>
    <n v="100"/>
    <s v=""/>
    <n v="-100"/>
    <x v="4"/>
    <s v=""/>
    <n v="-50"/>
    <x v="0"/>
    <n v="50"/>
    <s v=""/>
    <n v="-50"/>
    <x v="1"/>
    <s v="Sat"/>
    <s v="Hiyaam Proud"/>
  </r>
  <r>
    <x v="53"/>
    <d v="1899-12-30T15:37:00"/>
    <x v="4"/>
    <n v="5"/>
    <n v="16"/>
    <s v="Balance The Books"/>
    <m/>
    <m/>
    <x v="1"/>
    <x v="2"/>
    <n v="100"/>
    <s v=""/>
    <n v="-100"/>
    <x v="0"/>
    <s v=""/>
    <n v="-100"/>
    <x v="0"/>
    <n v="100"/>
    <s v=""/>
    <n v="-100"/>
    <x v="1"/>
    <s v="Sat"/>
    <s v="Balance The Books"/>
  </r>
  <r>
    <x v="53"/>
    <d v="1899-12-30T15:45:00"/>
    <x v="23"/>
    <n v="4"/>
    <n v="7"/>
    <s v="Skippers Canyon"/>
    <m/>
    <m/>
    <x v="0"/>
    <x v="1"/>
    <n v="100"/>
    <s v=""/>
    <n v="-100"/>
    <x v="3"/>
    <s v=""/>
    <n v="-150"/>
    <x v="0"/>
    <n v="150"/>
    <s v=""/>
    <n v="-150"/>
    <x v="1"/>
    <s v="Sat"/>
    <s v="Skippers Canyon"/>
  </r>
  <r>
    <x v="53"/>
    <d v="1899-12-30T16:25:00"/>
    <x v="23"/>
    <n v="13"/>
    <n v="8"/>
    <s v="Warnie"/>
    <s v="1st"/>
    <n v="13"/>
    <x v="0"/>
    <x v="1"/>
    <n v="100"/>
    <n v="1300"/>
    <n v="1200"/>
    <x v="4"/>
    <n v="650"/>
    <n v="600"/>
    <x v="0"/>
    <n v="50"/>
    <n v="650"/>
    <n v="600"/>
    <x v="1"/>
    <s v="Sat"/>
    <s v="Warnie"/>
  </r>
  <r>
    <x v="53"/>
    <d v="1899-12-30T17:05:00"/>
    <x v="23"/>
    <n v="4.8"/>
    <n v="9"/>
    <s v="Ndola"/>
    <m/>
    <m/>
    <x v="0"/>
    <x v="1"/>
    <n v="100"/>
    <s v=""/>
    <n v="-100"/>
    <x v="0"/>
    <s v=""/>
    <n v="-100"/>
    <x v="0"/>
    <n v="100"/>
    <s v=""/>
    <n v="-100"/>
    <x v="1"/>
    <s v="Sat"/>
    <s v="Ndola"/>
  </r>
  <r>
    <x v="53"/>
    <d v="1899-12-30T17:05:00"/>
    <x v="23"/>
    <n v="2.2000000000000002"/>
    <n v="9"/>
    <s v="Persian Spirit"/>
    <s v="1st"/>
    <n v="1.9"/>
    <x v="0"/>
    <x v="1"/>
    <n v="100"/>
    <n v="190"/>
    <n v="90"/>
    <x v="3"/>
    <n v="285"/>
    <n v="135"/>
    <x v="0"/>
    <n v="150"/>
    <n v="285"/>
    <n v="135"/>
    <x v="1"/>
    <s v="Sat"/>
    <s v="Persian Spirit"/>
  </r>
  <r>
    <x v="53"/>
    <d v="1899-12-30T17:20:00"/>
    <x v="0"/>
    <n v="3.2"/>
    <n v="9"/>
    <s v="Weeping Woman"/>
    <s v="1st"/>
    <n v="2.9"/>
    <x v="0"/>
    <x v="0"/>
    <n v="100"/>
    <n v="290"/>
    <n v="190"/>
    <x v="6"/>
    <n v="406"/>
    <n v="266"/>
    <x v="0"/>
    <n v="140"/>
    <n v="406"/>
    <n v="266"/>
    <x v="1"/>
    <s v="Sat"/>
    <s v="Weeping Woman"/>
  </r>
  <r>
    <x v="53"/>
    <d v="1899-12-30T17:32:00"/>
    <x v="4"/>
    <n v="8"/>
    <n v="11"/>
    <s v="Ready To Schipp"/>
    <m/>
    <m/>
    <x v="1"/>
    <x v="2"/>
    <n v="100"/>
    <s v=""/>
    <n v="-100"/>
    <x v="0"/>
    <s v=""/>
    <n v="-100"/>
    <x v="0"/>
    <n v="100"/>
    <s v=""/>
    <n v="-100"/>
    <x v="1"/>
    <s v="Sat"/>
    <s v="Ready To Schipp"/>
  </r>
  <r>
    <x v="53"/>
    <d v="1899-12-30T17:55:00"/>
    <x v="0"/>
    <n v="3.3"/>
    <n v="10"/>
    <s v="Theblade"/>
    <s v="1st"/>
    <n v="3"/>
    <x v="0"/>
    <x v="0"/>
    <n v="100"/>
    <n v="300"/>
    <n v="200"/>
    <x v="3"/>
    <n v="450"/>
    <n v="300"/>
    <x v="0"/>
    <n v="150"/>
    <n v="450"/>
    <n v="300"/>
    <x v="1"/>
    <s v="Sat"/>
    <s v="Theblade"/>
  </r>
  <r>
    <x v="53"/>
    <d v="1899-12-30T18:46:00"/>
    <x v="4"/>
    <n v="10"/>
    <n v="5"/>
    <s v="Flying Aurelius"/>
    <m/>
    <m/>
    <x v="1"/>
    <x v="2"/>
    <n v="100"/>
    <s v=""/>
    <n v="-100"/>
    <x v="0"/>
    <s v=""/>
    <n v="-100"/>
    <x v="0"/>
    <n v="100"/>
    <s v=""/>
    <n v="-100"/>
    <x v="1"/>
    <s v="Sat"/>
    <s v="Flying Aurelius"/>
  </r>
  <r>
    <x v="54"/>
    <d v="1899-12-30T12:50:00"/>
    <x v="24"/>
    <n v="2"/>
    <n v="8"/>
    <s v="Oraqua"/>
    <m/>
    <m/>
    <x v="0"/>
    <x v="1"/>
    <n v="100"/>
    <s v=""/>
    <n v="-100"/>
    <x v="1"/>
    <s v=""/>
    <n v="-200"/>
    <x v="1"/>
    <n v="200"/>
    <s v=""/>
    <n v="-200"/>
    <x v="1"/>
    <s v="Sat"/>
    <s v="Oraqua"/>
  </r>
  <r>
    <x v="54"/>
    <d v="1899-12-30T12:50:00"/>
    <x v="25"/>
    <n v="2"/>
    <n v="8"/>
    <s v="Oraqua"/>
    <m/>
    <m/>
    <x v="1"/>
    <x v="1"/>
    <n v="100"/>
    <s v=""/>
    <n v="-100"/>
    <x v="1"/>
    <s v=""/>
    <n v="-200"/>
    <x v="0"/>
    <s v=""/>
    <s v=""/>
    <s v=""/>
    <x v="1"/>
    <s v="Sat"/>
    <s v="Oraqua"/>
  </r>
  <r>
    <x v="54"/>
    <d v="1899-12-30T13:10:00"/>
    <x v="0"/>
    <n v="2"/>
    <n v="5"/>
    <s v="Oakfield Saturn"/>
    <m/>
    <m/>
    <x v="0"/>
    <x v="0"/>
    <n v="100"/>
    <s v=""/>
    <n v="-100"/>
    <x v="3"/>
    <s v=""/>
    <n v="-150"/>
    <x v="0"/>
    <n v="150"/>
    <s v=""/>
    <n v="-150"/>
    <x v="1"/>
    <s v="Sat"/>
    <s v="Oakfield Saturn"/>
  </r>
  <r>
    <x v="54"/>
    <d v="1899-12-30T13:18:00"/>
    <x v="4"/>
    <n v="1"/>
    <n v="3"/>
    <s v="Overfull"/>
    <s v="2nd"/>
    <m/>
    <x v="1"/>
    <x v="2"/>
    <n v="100"/>
    <s v=""/>
    <n v="-100"/>
    <x v="0"/>
    <s v=""/>
    <n v="-100"/>
    <x v="0"/>
    <n v="100"/>
    <s v=""/>
    <n v="-100"/>
    <x v="1"/>
    <s v="Sat"/>
    <s v="Overfull"/>
  </r>
  <r>
    <x v="54"/>
    <d v="1899-12-30T14:00:00"/>
    <x v="24"/>
    <n v="4"/>
    <n v="6"/>
    <s v="Chest Of Gold"/>
    <m/>
    <m/>
    <x v="0"/>
    <x v="1"/>
    <n v="100"/>
    <s v=""/>
    <n v="-100"/>
    <x v="3"/>
    <s v=""/>
    <n v="-150"/>
    <x v="0"/>
    <n v="150"/>
    <s v=""/>
    <n v="-150"/>
    <x v="1"/>
    <s v="Sat"/>
    <s v="Chest Of Gold"/>
  </r>
  <r>
    <x v="54"/>
    <d v="1899-12-30T14:00:00"/>
    <x v="24"/>
    <n v="4"/>
    <n v="9"/>
    <s v="Knobelas"/>
    <s v="2nd"/>
    <m/>
    <x v="0"/>
    <x v="1"/>
    <n v="100"/>
    <s v=""/>
    <n v="-100"/>
    <x v="0"/>
    <s v=""/>
    <n v="-100"/>
    <x v="1"/>
    <n v="150"/>
    <s v=""/>
    <n v="-150"/>
    <x v="1"/>
    <s v="Sat"/>
    <s v="Knobelas"/>
  </r>
  <r>
    <x v="54"/>
    <d v="1899-12-30T14:00:00"/>
    <x v="25"/>
    <n v="4"/>
    <n v="9"/>
    <s v="Knobelas"/>
    <s v="2nd"/>
    <m/>
    <x v="1"/>
    <x v="1"/>
    <n v="100"/>
    <s v=""/>
    <n v="-100"/>
    <x v="1"/>
    <s v=""/>
    <n v="-200"/>
    <x v="0"/>
    <s v=""/>
    <s v=""/>
    <s v=""/>
    <x v="1"/>
    <s v="Sat"/>
    <s v="Knobelas"/>
  </r>
  <r>
    <x v="54"/>
    <d v="1899-12-30T15:30:00"/>
    <x v="0"/>
    <n v="6"/>
    <n v="2"/>
    <s v="Brave Call"/>
    <s v="1st"/>
    <n v="4.8"/>
    <x v="1"/>
    <x v="0"/>
    <n v="100"/>
    <n v="480"/>
    <n v="380"/>
    <x v="3"/>
    <n v="720"/>
    <n v="570"/>
    <x v="0"/>
    <n v="150"/>
    <n v="720"/>
    <n v="570"/>
    <x v="1"/>
    <s v="Sat"/>
    <s v="Brave Call"/>
  </r>
  <r>
    <x v="54"/>
    <d v="1899-12-30T15:45:00"/>
    <x v="25"/>
    <n v="7"/>
    <n v="1"/>
    <s v="Job Done"/>
    <s v="1st"/>
    <n v="1.3"/>
    <x v="1"/>
    <x v="1"/>
    <n v="100"/>
    <n v="130"/>
    <n v="30"/>
    <x v="3"/>
    <n v="195"/>
    <n v="45"/>
    <x v="0"/>
    <n v="150"/>
    <n v="195"/>
    <n v="45"/>
    <x v="1"/>
    <s v="Sat"/>
    <s v="Job Done"/>
  </r>
  <r>
    <x v="54"/>
    <d v="1899-12-30T16:25:00"/>
    <x v="24"/>
    <n v="8"/>
    <n v="2"/>
    <s v="Gin A Tonic"/>
    <s v="1st"/>
    <n v="3.9"/>
    <x v="0"/>
    <x v="1"/>
    <n v="100"/>
    <n v="390"/>
    <n v="290"/>
    <x v="3"/>
    <n v="585"/>
    <n v="435"/>
    <x v="0"/>
    <n v="150"/>
    <n v="585"/>
    <n v="435"/>
    <x v="1"/>
    <s v="Sat"/>
    <s v="Gin A Tonic"/>
  </r>
  <r>
    <x v="54"/>
    <d v="1899-12-30T16:45:00"/>
    <x v="0"/>
    <n v="8"/>
    <n v="14"/>
    <s v="Just Party"/>
    <m/>
    <m/>
    <x v="0"/>
    <x v="0"/>
    <n v="100"/>
    <s v=""/>
    <n v="-100"/>
    <x v="3"/>
    <s v=""/>
    <n v="-150"/>
    <x v="0"/>
    <n v="150"/>
    <s v=""/>
    <n v="-150"/>
    <x v="1"/>
    <s v="Sat"/>
    <s v="Just Party"/>
  </r>
  <r>
    <x v="54"/>
    <d v="1899-12-30T17:20:00"/>
    <x v="0"/>
    <n v="9"/>
    <n v="11"/>
    <s v="Alabama Fox"/>
    <s v="2nd"/>
    <m/>
    <x v="0"/>
    <x v="0"/>
    <n v="100"/>
    <s v=""/>
    <n v="-100"/>
    <x v="6"/>
    <s v=""/>
    <n v="-140"/>
    <x v="0"/>
    <n v="140"/>
    <s v=""/>
    <n v="-140"/>
    <x v="1"/>
    <s v="Sat"/>
    <s v="Alabama Fox"/>
  </r>
  <r>
    <x v="54"/>
    <d v="1899-12-30T17:32:00"/>
    <x v="4"/>
    <n v="8"/>
    <n v="6"/>
    <s v="Accredited"/>
    <m/>
    <m/>
    <x v="1"/>
    <x v="2"/>
    <n v="100"/>
    <s v=""/>
    <n v="-100"/>
    <x v="0"/>
    <s v=""/>
    <n v="-100"/>
    <x v="0"/>
    <n v="100"/>
    <s v=""/>
    <n v="-100"/>
    <x v="1"/>
    <s v="Sat"/>
    <s v="Accredited"/>
  </r>
  <r>
    <x v="54"/>
    <d v="1899-12-30T17:55:00"/>
    <x v="0"/>
    <n v="10"/>
    <n v="4"/>
    <s v="Catoggio"/>
    <m/>
    <m/>
    <x v="0"/>
    <x v="0"/>
    <n v="100"/>
    <s v=""/>
    <n v="-100"/>
    <x v="6"/>
    <s v=""/>
    <n v="-140"/>
    <x v="0"/>
    <n v="140"/>
    <s v=""/>
    <n v="-140"/>
    <x v="1"/>
    <s v="Sat"/>
    <s v="Catoggio"/>
  </r>
  <r>
    <x v="54"/>
    <d v="1899-12-30T18:10:00"/>
    <x v="4"/>
    <n v="9"/>
    <n v="2"/>
    <s v="Walsh Bay"/>
    <m/>
    <m/>
    <x v="1"/>
    <x v="2"/>
    <n v="100"/>
    <s v=""/>
    <n v="-100"/>
    <x v="0"/>
    <s v=""/>
    <n v="-100"/>
    <x v="0"/>
    <n v="100"/>
    <s v=""/>
    <n v="-100"/>
    <x v="1"/>
    <s v="Sat"/>
    <s v="Walsh Bay"/>
  </r>
  <r>
    <x v="54"/>
    <d v="1899-12-30T18:49:00"/>
    <x v="4"/>
    <n v="10"/>
    <n v="6"/>
    <s v="Bossed Up"/>
    <s v="3rd"/>
    <m/>
    <x v="1"/>
    <x v="2"/>
    <n v="100"/>
    <s v=""/>
    <n v="-100"/>
    <x v="0"/>
    <s v=""/>
    <n v="-100"/>
    <x v="0"/>
    <n v="100"/>
    <s v=""/>
    <n v="-100"/>
    <x v="1"/>
    <s v="Sat"/>
    <s v="Bossed Up"/>
  </r>
  <r>
    <x v="55"/>
    <d v="1899-12-30T12:35:00"/>
    <x v="0"/>
    <n v="1"/>
    <n v="3"/>
    <s v="Oui Oui Oui"/>
    <s v="1st"/>
    <n v="2.2999999999999998"/>
    <x v="0"/>
    <x v="0"/>
    <n v="100"/>
    <n v="229.99999999999997"/>
    <n v="129.99999999999997"/>
    <x v="3"/>
    <n v="345"/>
    <n v="195"/>
    <x v="1"/>
    <n v="150"/>
    <n v="345"/>
    <n v="195"/>
    <x v="1"/>
    <s v="Sat"/>
    <s v="Oui Oui Oui"/>
  </r>
  <r>
    <x v="55"/>
    <d v="1899-12-30T12:35:00"/>
    <x v="0"/>
    <n v="1"/>
    <n v="3"/>
    <s v="Oui Oui Oui"/>
    <s v="1st"/>
    <n v="2.2999999999999998"/>
    <x v="1"/>
    <x v="0"/>
    <n v="100"/>
    <n v="229.99999999999997"/>
    <n v="129.99999999999997"/>
    <x v="3"/>
    <n v="345"/>
    <n v="195"/>
    <x v="0"/>
    <s v=""/>
    <s v=""/>
    <s v=""/>
    <x v="1"/>
    <s v="Sat"/>
    <s v="Oui Oui Oui"/>
  </r>
  <r>
    <x v="55"/>
    <d v="1899-12-30T14:28:00"/>
    <x v="4"/>
    <n v="3"/>
    <n v="8"/>
    <s v="Eclair Awesome"/>
    <s v="2nd"/>
    <m/>
    <x v="1"/>
    <x v="2"/>
    <n v="100"/>
    <s v=""/>
    <n v="-100"/>
    <x v="0"/>
    <s v=""/>
    <n v="-100"/>
    <x v="0"/>
    <n v="100"/>
    <s v=""/>
    <n v="-100"/>
    <x v="1"/>
    <s v="Sat"/>
    <s v="Eclair Awesome"/>
  </r>
  <r>
    <x v="55"/>
    <d v="1899-12-30T14:35:00"/>
    <x v="26"/>
    <n v="5"/>
    <n v="2"/>
    <s v="Harrys Yacht"/>
    <s v="3rd"/>
    <m/>
    <x v="1"/>
    <x v="1"/>
    <n v="100"/>
    <s v=""/>
    <n v="-100"/>
    <x v="1"/>
    <s v=""/>
    <n v="-200"/>
    <x v="0"/>
    <n v="200"/>
    <s v=""/>
    <n v="-200"/>
    <x v="1"/>
    <s v="Sat"/>
    <s v="Harrys Yacht"/>
  </r>
  <r>
    <x v="55"/>
    <d v="1899-12-30T14:35:00"/>
    <x v="19"/>
    <n v="5"/>
    <n v="2"/>
    <s v="Harry'S Yacht"/>
    <s v="3rd"/>
    <m/>
    <x v="0"/>
    <x v="1"/>
    <n v="100"/>
    <s v=""/>
    <n v="-100"/>
    <x v="1"/>
    <s v=""/>
    <n v="-200"/>
    <x v="0"/>
    <n v="200"/>
    <s v=""/>
    <n v="-200"/>
    <x v="1"/>
    <s v="Sat"/>
    <s v="Harry'S Yacht"/>
  </r>
  <r>
    <x v="55"/>
    <d v="1899-12-30T14:55:00"/>
    <x v="0"/>
    <n v="5"/>
    <n v="2"/>
    <s v="Columbia Blue"/>
    <m/>
    <m/>
    <x v="1"/>
    <x v="0"/>
    <n v="100"/>
    <s v=""/>
    <n v="-100"/>
    <x v="3"/>
    <s v=""/>
    <n v="-150"/>
    <x v="0"/>
    <n v="150"/>
    <s v=""/>
    <n v="-150"/>
    <x v="1"/>
    <s v="Sat"/>
    <s v="Columbia Blue"/>
  </r>
  <r>
    <x v="55"/>
    <d v="1899-12-30T15:03:00"/>
    <x v="4"/>
    <n v="4"/>
    <n v="4"/>
    <s v="Express Payment"/>
    <m/>
    <m/>
    <x v="1"/>
    <x v="2"/>
    <n v="100"/>
    <s v=""/>
    <n v="-100"/>
    <x v="0"/>
    <s v=""/>
    <n v="-100"/>
    <x v="0"/>
    <n v="100"/>
    <s v=""/>
    <n v="-100"/>
    <x v="1"/>
    <s v="Sat"/>
    <s v="Express Payment"/>
  </r>
  <r>
    <x v="55"/>
    <d v="1899-12-30T15:38:00"/>
    <x v="4"/>
    <n v="5"/>
    <n v="4"/>
    <s v="Pre Eminence"/>
    <s v="1st"/>
    <n v="3.3"/>
    <x v="1"/>
    <x v="2"/>
    <n v="100"/>
    <n v="330"/>
    <n v="230"/>
    <x v="0"/>
    <n v="330"/>
    <n v="230"/>
    <x v="0"/>
    <n v="100"/>
    <n v="330"/>
    <n v="230"/>
    <x v="1"/>
    <s v="Sat"/>
    <s v="Pre Eminence"/>
  </r>
  <r>
    <x v="55"/>
    <d v="1899-12-30T16:25:00"/>
    <x v="19"/>
    <n v="8"/>
    <n v="12"/>
    <s v="Sun Gift"/>
    <s v="1st"/>
    <n v="4.4000000000000004"/>
    <x v="0"/>
    <x v="1"/>
    <n v="100"/>
    <n v="440.00000000000006"/>
    <n v="340.00000000000006"/>
    <x v="3"/>
    <n v="660"/>
    <n v="510"/>
    <x v="0"/>
    <n v="150"/>
    <n v="660"/>
    <n v="510"/>
    <x v="1"/>
    <s v="Sat"/>
    <s v="Sun Gift"/>
  </r>
  <r>
    <x v="55"/>
    <d v="1899-12-30T16:57:00"/>
    <x v="4"/>
    <n v="7"/>
    <n v="1"/>
    <s v="Amor Victorious"/>
    <s v="1st"/>
    <n v="2.5"/>
    <x v="1"/>
    <x v="2"/>
    <n v="100"/>
    <n v="250"/>
    <n v="150"/>
    <x v="0"/>
    <n v="250"/>
    <n v="150"/>
    <x v="0"/>
    <n v="100"/>
    <n v="250"/>
    <n v="150"/>
    <x v="1"/>
    <s v="Sat"/>
    <s v="Amor Victorious"/>
  </r>
  <r>
    <x v="55"/>
    <d v="1899-12-30T17:05:00"/>
    <x v="19"/>
    <n v="9"/>
    <n v="5"/>
    <s v="Recon"/>
    <m/>
    <m/>
    <x v="0"/>
    <x v="1"/>
    <n v="100"/>
    <s v=""/>
    <n v="-100"/>
    <x v="5"/>
    <s v=""/>
    <n v="-160"/>
    <x v="1"/>
    <n v="180"/>
    <s v=""/>
    <n v="-180"/>
    <x v="1"/>
    <s v="Sat"/>
    <s v="Recon"/>
  </r>
  <r>
    <x v="55"/>
    <d v="1899-12-30T17:05:00"/>
    <x v="26"/>
    <n v="9"/>
    <n v="5"/>
    <s v="Recon"/>
    <m/>
    <m/>
    <x v="1"/>
    <x v="1"/>
    <n v="100"/>
    <s v=""/>
    <n v="-100"/>
    <x v="1"/>
    <s v=""/>
    <n v="-200"/>
    <x v="0"/>
    <s v=""/>
    <s v=""/>
    <s v=""/>
    <x v="1"/>
    <s v="Sat"/>
    <s v="Recon"/>
  </r>
  <r>
    <x v="55"/>
    <d v="1899-12-30T17:05:00"/>
    <x v="19"/>
    <n v="9"/>
    <n v="9"/>
    <s v="Zouper Fund"/>
    <s v="3rd"/>
    <m/>
    <x v="0"/>
    <x v="1"/>
    <n v="100"/>
    <s v=""/>
    <n v="-100"/>
    <x v="0"/>
    <s v=""/>
    <n v="-100"/>
    <x v="0"/>
    <n v="100"/>
    <s v=""/>
    <n v="-100"/>
    <x v="1"/>
    <s v="Sat"/>
    <s v="Zouper Fund"/>
  </r>
  <r>
    <x v="55"/>
    <d v="1899-12-30T17:20:00"/>
    <x v="0"/>
    <n v="9"/>
    <n v="14"/>
    <s v="Rotagilla"/>
    <m/>
    <m/>
    <x v="0"/>
    <x v="0"/>
    <n v="100"/>
    <s v=""/>
    <n v="-100"/>
    <x v="3"/>
    <s v=""/>
    <n v="-150"/>
    <x v="0"/>
    <n v="150"/>
    <s v=""/>
    <n v="-150"/>
    <x v="1"/>
    <s v="Sat"/>
    <s v="Rotagilla"/>
  </r>
  <r>
    <x v="55"/>
    <d v="1899-12-30T18:49:00"/>
    <x v="4"/>
    <n v="10"/>
    <n v="9"/>
    <s v="Chief Witness"/>
    <s v="1st"/>
    <n v="2.7"/>
    <x v="1"/>
    <x v="2"/>
    <n v="100"/>
    <n v="270"/>
    <n v="170"/>
    <x v="0"/>
    <n v="270"/>
    <n v="170"/>
    <x v="0"/>
    <n v="100"/>
    <n v="270"/>
    <n v="170"/>
    <x v="1"/>
    <s v="Sat"/>
    <s v="Chief Witness"/>
  </r>
  <r>
    <x v="56"/>
    <d v="1899-12-30T13:18:00"/>
    <x v="4"/>
    <n v="1"/>
    <n v="5"/>
    <s v="Belegato"/>
    <m/>
    <m/>
    <x v="1"/>
    <x v="2"/>
    <n v="100"/>
    <s v=""/>
    <n v="-100"/>
    <x v="0"/>
    <s v=""/>
    <n v="-100"/>
    <x v="0"/>
    <n v="100"/>
    <s v=""/>
    <n v="-100"/>
    <x v="1"/>
    <s v="Sat"/>
    <s v="Belegato"/>
  </r>
  <r>
    <x v="56"/>
    <d v="1899-12-30T14:00:00"/>
    <x v="1"/>
    <n v="4"/>
    <n v="1"/>
    <s v="Job Done"/>
    <s v="3rd"/>
    <m/>
    <x v="0"/>
    <x v="1"/>
    <n v="100"/>
    <s v=""/>
    <n v="-100"/>
    <x v="4"/>
    <s v=""/>
    <n v="-50"/>
    <x v="0"/>
    <n v="50"/>
    <s v=""/>
    <n v="-50"/>
    <x v="1"/>
    <s v="Sat"/>
    <s v="Job Done"/>
  </r>
  <r>
    <x v="56"/>
    <d v="1899-12-30T14:35:00"/>
    <x v="1"/>
    <n v="5"/>
    <n v="5"/>
    <s v="Ahha Ahha"/>
    <s v="2nd"/>
    <m/>
    <x v="0"/>
    <x v="1"/>
    <n v="100"/>
    <s v=""/>
    <n v="-100"/>
    <x v="0"/>
    <s v=""/>
    <n v="-100"/>
    <x v="0"/>
    <n v="100"/>
    <s v=""/>
    <n v="-100"/>
    <x v="1"/>
    <s v="Sat"/>
    <s v="Ahha Ahha"/>
  </r>
  <r>
    <x v="56"/>
    <d v="1899-12-30T14:35:00"/>
    <x v="1"/>
    <n v="5"/>
    <n v="11"/>
    <s v="Davida"/>
    <s v="1st"/>
    <n v="3.2"/>
    <x v="0"/>
    <x v="1"/>
    <n v="100"/>
    <n v="320"/>
    <n v="220"/>
    <x v="3"/>
    <n v="480"/>
    <n v="330"/>
    <x v="0"/>
    <n v="150"/>
    <n v="480"/>
    <n v="330"/>
    <x v="1"/>
    <s v="Sat"/>
    <s v="Davida"/>
  </r>
  <r>
    <x v="56"/>
    <d v="1899-12-30T15:03:00"/>
    <x v="4"/>
    <n v="4"/>
    <n v="13"/>
    <s v="Esjay"/>
    <s v="1st"/>
    <n v="4"/>
    <x v="1"/>
    <x v="2"/>
    <n v="100"/>
    <n v="400"/>
    <n v="300"/>
    <x v="0"/>
    <n v="400"/>
    <n v="300"/>
    <x v="0"/>
    <n v="100"/>
    <n v="400"/>
    <n v="300"/>
    <x v="1"/>
    <s v="Sat"/>
    <s v="Esjay"/>
  </r>
  <r>
    <x v="56"/>
    <d v="1899-12-30T15:10:00"/>
    <x v="1"/>
    <n v="6"/>
    <n v="9"/>
    <s v="Codigo"/>
    <s v="3rd"/>
    <m/>
    <x v="1"/>
    <x v="1"/>
    <n v="100"/>
    <s v=""/>
    <n v="-100"/>
    <x v="1"/>
    <s v=""/>
    <n v="-200"/>
    <x v="0"/>
    <n v="200"/>
    <s v=""/>
    <n v="-200"/>
    <x v="1"/>
    <s v="Sat"/>
    <s v="Codigo"/>
  </r>
  <r>
    <x v="56"/>
    <d v="1899-12-30T15:10:00"/>
    <x v="1"/>
    <n v="6"/>
    <n v="5"/>
    <s v="Harry'S Yacht"/>
    <s v="1st"/>
    <n v="2.6"/>
    <x v="0"/>
    <x v="1"/>
    <n v="100"/>
    <n v="260"/>
    <n v="160"/>
    <x v="0"/>
    <n v="260"/>
    <n v="160"/>
    <x v="0"/>
    <n v="100"/>
    <n v="260"/>
    <n v="160"/>
    <x v="1"/>
    <s v="Sat"/>
    <s v="Harry'S Yacht"/>
  </r>
  <r>
    <x v="56"/>
    <d v="1899-12-30T15:38:00"/>
    <x v="4"/>
    <n v="5"/>
    <n v="10"/>
    <s v="Texas Fireball"/>
    <m/>
    <m/>
    <x v="1"/>
    <x v="2"/>
    <n v="100"/>
    <s v=""/>
    <n v="-100"/>
    <x v="0"/>
    <s v=""/>
    <n v="-100"/>
    <x v="0"/>
    <n v="100"/>
    <s v=""/>
    <n v="-100"/>
    <x v="1"/>
    <s v="Sat"/>
    <s v="Texas Fireball"/>
  </r>
  <r>
    <x v="56"/>
    <d v="1899-12-30T15:45:00"/>
    <x v="1"/>
    <n v="7"/>
    <n v="4"/>
    <s v="Naval Academy"/>
    <m/>
    <m/>
    <x v="0"/>
    <x v="1"/>
    <n v="100"/>
    <s v=""/>
    <n v="-100"/>
    <x v="0"/>
    <s v=""/>
    <n v="-100"/>
    <x v="1"/>
    <n v="150"/>
    <s v=""/>
    <n v="-150"/>
    <x v="1"/>
    <s v="Sat"/>
    <s v="Naval Academy"/>
  </r>
  <r>
    <x v="56"/>
    <d v="1899-12-30T15:45:00"/>
    <x v="1"/>
    <n v="7"/>
    <n v="4"/>
    <s v="Naval Academy"/>
    <m/>
    <m/>
    <x v="1"/>
    <x v="1"/>
    <n v="100"/>
    <s v=""/>
    <n v="-100"/>
    <x v="1"/>
    <s v=""/>
    <n v="-200"/>
    <x v="0"/>
    <s v=""/>
    <s v=""/>
    <s v=""/>
    <x v="1"/>
    <s v="Sat"/>
    <s v="Naval Academy"/>
  </r>
  <r>
    <x v="56"/>
    <d v="1899-12-30T16:25:00"/>
    <x v="1"/>
    <n v="8"/>
    <n v="3"/>
    <s v="Precious Charm"/>
    <s v="1st"/>
    <n v="4.8"/>
    <x v="0"/>
    <x v="1"/>
    <n v="100"/>
    <n v="480"/>
    <n v="380"/>
    <x v="3"/>
    <n v="720"/>
    <n v="570"/>
    <x v="0"/>
    <n v="150"/>
    <n v="720"/>
    <n v="570"/>
    <x v="1"/>
    <s v="Sat"/>
    <s v="Precious Charm"/>
  </r>
  <r>
    <x v="56"/>
    <d v="1899-12-30T16:45:00"/>
    <x v="0"/>
    <n v="8"/>
    <n v="10"/>
    <s v="Midnight Opal"/>
    <s v="2nd"/>
    <m/>
    <x v="0"/>
    <x v="0"/>
    <n v="100"/>
    <s v=""/>
    <n v="-100"/>
    <x v="0"/>
    <s v=""/>
    <n v="-100"/>
    <x v="0"/>
    <n v="100"/>
    <s v=""/>
    <n v="-100"/>
    <x v="1"/>
    <s v="Sat"/>
    <s v="Midnight Opal"/>
  </r>
  <r>
    <x v="56"/>
    <d v="1899-12-30T17:05:00"/>
    <x v="1"/>
    <n v="9"/>
    <n v="15"/>
    <s v="Biancelli"/>
    <m/>
    <m/>
    <x v="0"/>
    <x v="1"/>
    <n v="100"/>
    <s v=""/>
    <n v="-100"/>
    <x v="3"/>
    <s v=""/>
    <n v="-150"/>
    <x v="0"/>
    <n v="150"/>
    <s v=""/>
    <n v="-150"/>
    <x v="1"/>
    <s v="Sat"/>
    <s v="Biancelli"/>
  </r>
  <r>
    <x v="56"/>
    <d v="1899-12-30T17:20:00"/>
    <x v="0"/>
    <n v="9"/>
    <n v="2"/>
    <s v="Hawker Hall"/>
    <m/>
    <m/>
    <x v="0"/>
    <x v="0"/>
    <n v="100"/>
    <s v=""/>
    <n v="-100"/>
    <x v="3"/>
    <s v=""/>
    <n v="-150"/>
    <x v="1"/>
    <n v="150"/>
    <s v=""/>
    <n v="-150"/>
    <x v="1"/>
    <s v="Sat"/>
    <s v="Hawker Hall"/>
  </r>
  <r>
    <x v="56"/>
    <d v="1899-12-30T17:20:00"/>
    <x v="0"/>
    <n v="9"/>
    <n v="2"/>
    <s v="Hawker Hall"/>
    <m/>
    <m/>
    <x v="1"/>
    <x v="0"/>
    <n v="100"/>
    <s v=""/>
    <n v="-100"/>
    <x v="3"/>
    <s v=""/>
    <n v="-150"/>
    <x v="0"/>
    <s v=""/>
    <s v=""/>
    <s v=""/>
    <x v="1"/>
    <s v="Sat"/>
    <s v="Hawker Hall"/>
  </r>
  <r>
    <x v="56"/>
    <d v="1899-12-30T17:32:00"/>
    <x v="4"/>
    <n v="8"/>
    <n v="7"/>
    <s v="Tavs"/>
    <m/>
    <m/>
    <x v="1"/>
    <x v="2"/>
    <n v="100"/>
    <s v=""/>
    <n v="-100"/>
    <x v="0"/>
    <s v=""/>
    <n v="-100"/>
    <x v="0"/>
    <n v="100"/>
    <s v=""/>
    <n v="-100"/>
    <x v="1"/>
    <s v="Sat"/>
    <s v="Tavs"/>
  </r>
  <r>
    <x v="56"/>
    <d v="1899-12-30T17:55:00"/>
    <x v="0"/>
    <n v="10"/>
    <n v="17"/>
    <s v="Deal N' Dash"/>
    <m/>
    <m/>
    <x v="0"/>
    <x v="0"/>
    <n v="100"/>
    <s v=""/>
    <n v="-100"/>
    <x v="3"/>
    <s v=""/>
    <n v="-150"/>
    <x v="0"/>
    <n v="150"/>
    <s v=""/>
    <n v="-150"/>
    <x v="1"/>
    <s v="Sat"/>
    <s v="Deal N' Dash"/>
  </r>
  <r>
    <x v="57"/>
    <d v="1899-12-30T12:05:00"/>
    <x v="3"/>
    <n v="3"/>
    <n v="4"/>
    <s v="Charleroi"/>
    <s v="3rd"/>
    <m/>
    <x v="0"/>
    <x v="0"/>
    <n v="100"/>
    <s v=""/>
    <n v="-100"/>
    <x v="1"/>
    <s v=""/>
    <n v="-200"/>
    <x v="0"/>
    <n v="200"/>
    <s v=""/>
    <n v="-200"/>
    <x v="1"/>
    <s v="Sat"/>
    <s v="Charleroi"/>
  </r>
  <r>
    <x v="57"/>
    <d v="1899-12-30T12:35:00"/>
    <x v="3"/>
    <n v="4"/>
    <n v="6"/>
    <s v="Lennox"/>
    <m/>
    <m/>
    <x v="0"/>
    <x v="0"/>
    <n v="100"/>
    <s v=""/>
    <n v="-100"/>
    <x v="0"/>
    <s v=""/>
    <n v="-100"/>
    <x v="0"/>
    <n v="100"/>
    <s v=""/>
    <n v="-100"/>
    <x v="1"/>
    <s v="Sat"/>
    <s v="Lennox"/>
  </r>
  <r>
    <x v="57"/>
    <d v="1899-12-30T12:50:00"/>
    <x v="27"/>
    <n v="2"/>
    <n v="8"/>
    <s v="Trapalanda"/>
    <s v="2nd"/>
    <m/>
    <x v="0"/>
    <x v="1"/>
    <n v="100"/>
    <s v=""/>
    <n v="-100"/>
    <x v="2"/>
    <s v=""/>
    <n v="-120"/>
    <x v="0"/>
    <n v="120"/>
    <s v=""/>
    <n v="-120"/>
    <x v="1"/>
    <s v="Sat"/>
    <s v="Trapalanda"/>
  </r>
  <r>
    <x v="57"/>
    <d v="1899-12-30T13:10:00"/>
    <x v="3"/>
    <n v="5"/>
    <n v="4"/>
    <s v="Hanau"/>
    <m/>
    <m/>
    <x v="0"/>
    <x v="0"/>
    <n v="100"/>
    <s v=""/>
    <n v="-100"/>
    <x v="0"/>
    <s v=""/>
    <n v="-100"/>
    <x v="0"/>
    <n v="100"/>
    <s v=""/>
    <n v="-100"/>
    <x v="1"/>
    <s v="Sat"/>
    <s v="Hanau"/>
  </r>
  <r>
    <x v="57"/>
    <d v="1899-12-30T13:25:00"/>
    <x v="2"/>
    <n v="3"/>
    <n v="6"/>
    <s v="Conscience"/>
    <s v="3rd"/>
    <m/>
    <x v="1"/>
    <x v="1"/>
    <n v="100"/>
    <s v=""/>
    <n v="-100"/>
    <x v="0"/>
    <s v=""/>
    <n v="-100"/>
    <x v="0"/>
    <n v="100"/>
    <s v=""/>
    <n v="-100"/>
    <x v="1"/>
    <s v="Sat"/>
    <s v="Conscience"/>
  </r>
  <r>
    <x v="57"/>
    <d v="1899-12-30T14:00:00"/>
    <x v="27"/>
    <n v="4"/>
    <n v="2"/>
    <s v="Suntora"/>
    <s v="3rd"/>
    <m/>
    <x v="0"/>
    <x v="1"/>
    <n v="100"/>
    <s v=""/>
    <n v="-100"/>
    <x v="2"/>
    <s v=""/>
    <n v="-120"/>
    <x v="0"/>
    <n v="120"/>
    <s v=""/>
    <n v="-120"/>
    <x v="1"/>
    <s v="Sat"/>
    <s v="Suntora"/>
  </r>
  <r>
    <x v="57"/>
    <d v="1899-12-30T14:55:00"/>
    <x v="3"/>
    <n v="8"/>
    <n v="4"/>
    <s v="Whinchat"/>
    <s v="1st"/>
    <n v="2.9"/>
    <x v="0"/>
    <x v="0"/>
    <n v="100"/>
    <n v="290"/>
    <n v="190"/>
    <x v="3"/>
    <n v="435"/>
    <n v="285"/>
    <x v="0"/>
    <n v="150"/>
    <n v="435"/>
    <n v="285"/>
    <x v="1"/>
    <s v="Sat"/>
    <s v="Whinchat"/>
  </r>
  <r>
    <x v="57"/>
    <d v="1899-12-30T15:35:00"/>
    <x v="3"/>
    <n v="9"/>
    <n v="3"/>
    <s v="Know Thyself"/>
    <m/>
    <m/>
    <x v="0"/>
    <x v="0"/>
    <n v="100"/>
    <s v=""/>
    <n v="-100"/>
    <x v="3"/>
    <s v=""/>
    <n v="-150"/>
    <x v="0"/>
    <n v="150"/>
    <s v=""/>
    <n v="-150"/>
    <x v="1"/>
    <s v="Sat"/>
    <s v="Know Thyself"/>
  </r>
  <r>
    <x v="57"/>
    <d v="1899-12-30T15:55:00"/>
    <x v="2"/>
    <n v="7"/>
    <n v="10"/>
    <s v="Welcometotheshow"/>
    <s v="1st"/>
    <n v="12"/>
    <x v="1"/>
    <x v="1"/>
    <n v="100"/>
    <n v="1200"/>
    <n v="1100"/>
    <x v="0"/>
    <n v="1200"/>
    <n v="1100"/>
    <x v="0"/>
    <n v="100"/>
    <n v="1200"/>
    <n v="1100"/>
    <x v="1"/>
    <s v="Sat"/>
    <s v="Welcometotheshow"/>
  </r>
  <r>
    <x v="57"/>
    <d v="1899-12-30T16:15:00"/>
    <x v="3"/>
    <n v="10"/>
    <n v="7"/>
    <s v="Althoff"/>
    <s v="1st"/>
    <n v="3.2"/>
    <x v="0"/>
    <x v="0"/>
    <n v="100"/>
    <n v="320"/>
    <n v="220"/>
    <x v="3"/>
    <n v="480"/>
    <n v="330"/>
    <x v="0"/>
    <n v="150"/>
    <n v="480"/>
    <n v="330"/>
    <x v="1"/>
    <s v="Sat"/>
    <s v="Althoff"/>
  </r>
  <r>
    <x v="57"/>
    <d v="1899-12-30T16:35:00"/>
    <x v="27"/>
    <n v="8"/>
    <n v="5"/>
    <s v="Hedged"/>
    <m/>
    <m/>
    <x v="0"/>
    <x v="1"/>
    <n v="100"/>
    <s v=""/>
    <n v="-100"/>
    <x v="0"/>
    <s v=""/>
    <n v="-100"/>
    <x v="0"/>
    <n v="100"/>
    <s v=""/>
    <n v="-100"/>
    <x v="1"/>
    <s v="Sat"/>
    <s v="Hedged"/>
  </r>
  <r>
    <x v="57"/>
    <d v="1899-12-30T16:35:00"/>
    <x v="27"/>
    <n v="8"/>
    <n v="2"/>
    <s v="Lim'S Kosciuszko"/>
    <m/>
    <m/>
    <x v="0"/>
    <x v="1"/>
    <n v="100"/>
    <s v=""/>
    <n v="-100"/>
    <x v="4"/>
    <s v=""/>
    <n v="-50"/>
    <x v="0"/>
    <n v="50"/>
    <s v=""/>
    <n v="-50"/>
    <x v="1"/>
    <s v="Sat"/>
    <s v="Lim'S Kosciuszko"/>
  </r>
  <r>
    <x v="58"/>
    <d v="1899-12-30T12:50:00"/>
    <x v="27"/>
    <n v="2"/>
    <n v="6"/>
    <s v="Tarvue"/>
    <s v="2nd"/>
    <n v="5.5"/>
    <x v="0"/>
    <x v="1"/>
    <n v="100"/>
    <s v=""/>
    <n v="-100"/>
    <x v="3"/>
    <s v=""/>
    <n v="-150"/>
    <x v="0"/>
    <n v="150"/>
    <s v=""/>
    <n v="-150"/>
    <x v="1"/>
    <s v="Sat"/>
    <s v="Tarvue"/>
  </r>
  <r>
    <x v="58"/>
    <d v="1899-12-30T13:58:00"/>
    <x v="2"/>
    <n v="4"/>
    <n v="14"/>
    <s v="Yes I Know"/>
    <s v="3rd"/>
    <m/>
    <x v="1"/>
    <x v="1"/>
    <n v="100"/>
    <s v=""/>
    <n v="-100"/>
    <x v="0"/>
    <s v=""/>
    <n v="-100"/>
    <x v="0"/>
    <n v="100"/>
    <s v=""/>
    <n v="-100"/>
    <x v="1"/>
    <s v="Sat"/>
    <s v="Yes I Know"/>
  </r>
  <r>
    <x v="58"/>
    <d v="1899-12-30T15:08:00"/>
    <x v="27"/>
    <n v="6"/>
    <n v="2"/>
    <s v="Harry'S Yacht"/>
    <m/>
    <m/>
    <x v="0"/>
    <x v="1"/>
    <n v="100"/>
    <s v=""/>
    <n v="-100"/>
    <x v="3"/>
    <s v=""/>
    <n v="-150"/>
    <x v="0"/>
    <n v="150"/>
    <s v=""/>
    <n v="-150"/>
    <x v="1"/>
    <s v="Sat"/>
    <s v="Harry'S Yacht"/>
  </r>
  <r>
    <x v="58"/>
    <d v="1899-12-30T15:43:00"/>
    <x v="2"/>
    <n v="7"/>
    <n v="6"/>
    <s v="Dirty Grin"/>
    <m/>
    <m/>
    <x v="1"/>
    <x v="1"/>
    <n v="100"/>
    <s v=""/>
    <n v="-100"/>
    <x v="0"/>
    <s v=""/>
    <n v="-100"/>
    <x v="0"/>
    <n v="100"/>
    <s v=""/>
    <n v="-100"/>
    <x v="1"/>
    <s v="Sat"/>
    <s v="Dirty Grin"/>
  </r>
  <r>
    <x v="58"/>
    <d v="1899-12-30T16:18:00"/>
    <x v="27"/>
    <n v="8"/>
    <n v="12"/>
    <s v="Darkbonee"/>
    <s v="3rd"/>
    <m/>
    <x v="0"/>
    <x v="1"/>
    <n v="100"/>
    <s v=""/>
    <n v="-100"/>
    <x v="0"/>
    <s v=""/>
    <n v="-100"/>
    <x v="0"/>
    <n v="100"/>
    <s v=""/>
    <n v="-100"/>
    <x v="1"/>
    <s v="Sat"/>
    <s v="Darkbonee"/>
  </r>
  <r>
    <x v="58"/>
    <d v="1899-12-30T16:18:00"/>
    <x v="27"/>
    <n v="8"/>
    <n v="2"/>
    <s v="Saint George"/>
    <s v="1st"/>
    <n v="2.5"/>
    <x v="0"/>
    <x v="1"/>
    <n v="100"/>
    <n v="250"/>
    <n v="150"/>
    <x v="0"/>
    <n v="250"/>
    <n v="150"/>
    <x v="0"/>
    <n v="100"/>
    <n v="250"/>
    <n v="150"/>
    <x v="1"/>
    <s v="Sat"/>
    <s v="Saint George"/>
  </r>
  <r>
    <x v="58"/>
    <d v="1899-12-30T16:58:00"/>
    <x v="2"/>
    <n v="9"/>
    <n v="14"/>
    <s v="Botanical Boy"/>
    <m/>
    <m/>
    <x v="0"/>
    <x v="1"/>
    <n v="100"/>
    <s v=""/>
    <n v="-100"/>
    <x v="2"/>
    <s v=""/>
    <n v="-120"/>
    <x v="1"/>
    <n v="120"/>
    <s v=""/>
    <n v="-120"/>
    <x v="1"/>
    <s v="Sat"/>
    <s v="Botanical Boy"/>
  </r>
  <r>
    <x v="58"/>
    <d v="1899-12-30T16:58:00"/>
    <x v="27"/>
    <n v="9"/>
    <n v="14"/>
    <s v="Botanical Boy"/>
    <m/>
    <m/>
    <x v="1"/>
    <x v="1"/>
    <n v="100"/>
    <s v=""/>
    <n v="-100"/>
    <x v="2"/>
    <s v=""/>
    <n v="-120"/>
    <x v="0"/>
    <s v=""/>
    <s v=""/>
    <s v=""/>
    <x v="1"/>
    <s v="Sat"/>
    <s v="Botanical Boy"/>
  </r>
  <r>
    <x v="58"/>
    <d v="1899-12-30T17:38:00"/>
    <x v="27"/>
    <n v="10"/>
    <n v="8"/>
    <s v="Sass Appeal"/>
    <s v="1st"/>
    <n v="2.25"/>
    <x v="0"/>
    <x v="1"/>
    <n v="100"/>
    <n v="225"/>
    <n v="125"/>
    <x v="4"/>
    <n v="112.5"/>
    <n v="62.5"/>
    <x v="0"/>
    <n v="50"/>
    <n v="112.5"/>
    <n v="62.5"/>
    <x v="1"/>
    <s v="Sat"/>
    <s v="Sass Appeal"/>
  </r>
  <r>
    <x v="59"/>
    <d v="1899-12-30T11:20:00"/>
    <x v="28"/>
    <n v="1"/>
    <n v="6"/>
    <s v="Merrigold"/>
    <s v="2nd"/>
    <m/>
    <x v="0"/>
    <x v="1"/>
    <n v="100"/>
    <s v=""/>
    <n v="-100"/>
    <x v="5"/>
    <s v=""/>
    <n v="-160"/>
    <x v="1"/>
    <n v="180"/>
    <s v=""/>
    <n v="-180"/>
    <x v="1"/>
    <s v="Sat"/>
    <s v="Merrigold"/>
  </r>
  <r>
    <x v="59"/>
    <d v="1899-12-30T11:20:00"/>
    <x v="9"/>
    <n v="1"/>
    <n v="6"/>
    <s v="Merrigold"/>
    <s v="2nd"/>
    <m/>
    <x v="1"/>
    <x v="1"/>
    <n v="100"/>
    <s v=""/>
    <n v="-100"/>
    <x v="1"/>
    <s v=""/>
    <n v="-200"/>
    <x v="0"/>
    <s v=""/>
    <s v=""/>
    <s v=""/>
    <x v="1"/>
    <s v="Sat"/>
    <s v="Merrigold"/>
  </r>
  <r>
    <x v="59"/>
    <d v="1899-12-30T11:20:00"/>
    <x v="28"/>
    <n v="1"/>
    <n v="3"/>
    <s v="Verdad"/>
    <s v="Ntd"/>
    <m/>
    <x v="0"/>
    <x v="1"/>
    <n v="100"/>
    <s v=""/>
    <n v="-100"/>
    <x v="3"/>
    <s v=""/>
    <n v="-150"/>
    <x v="0"/>
    <n v="150"/>
    <s v=""/>
    <n v="-150"/>
    <x v="1"/>
    <s v="Sat"/>
    <s v="Verdad"/>
  </r>
  <r>
    <x v="59"/>
    <d v="1899-12-30T13:10:00"/>
    <x v="0"/>
    <n v="2"/>
    <n v="7"/>
    <s v="Artful Persuasion"/>
    <m/>
    <m/>
    <x v="0"/>
    <x v="0"/>
    <n v="100"/>
    <s v=""/>
    <n v="-100"/>
    <x v="0"/>
    <s v=""/>
    <n v="-100"/>
    <x v="0"/>
    <n v="100"/>
    <s v=""/>
    <n v="-100"/>
    <x v="1"/>
    <s v="Sat"/>
    <s v="Artful Persuasion"/>
  </r>
  <r>
    <x v="59"/>
    <d v="1899-12-30T14:00:00"/>
    <x v="28"/>
    <n v="6"/>
    <n v="9"/>
    <s v="Active Duty"/>
    <s v="2nd"/>
    <m/>
    <x v="0"/>
    <x v="1"/>
    <n v="100"/>
    <s v=""/>
    <n v="-100"/>
    <x v="3"/>
    <s v=""/>
    <n v="-150"/>
    <x v="0"/>
    <n v="150"/>
    <s v=""/>
    <n v="-150"/>
    <x v="1"/>
    <s v="Sat"/>
    <s v="Active Duty"/>
  </r>
  <r>
    <x v="59"/>
    <d v="1899-12-30T14:00:00"/>
    <x v="28"/>
    <n v="6"/>
    <n v="6"/>
    <s v="Suntora"/>
    <s v="1st"/>
    <n v="4.4000000000000004"/>
    <x v="0"/>
    <x v="1"/>
    <n v="100"/>
    <n v="440.00000000000006"/>
    <n v="340.00000000000006"/>
    <x v="0"/>
    <n v="440.00000000000006"/>
    <n v="340.00000000000006"/>
    <x v="0"/>
    <n v="100"/>
    <n v="440.00000000000006"/>
    <n v="340.00000000000006"/>
    <x v="1"/>
    <s v="Sat"/>
    <s v="Suntora"/>
  </r>
  <r>
    <x v="59"/>
    <d v="1899-12-30T14:25:00"/>
    <x v="0"/>
    <n v="5"/>
    <n v="6"/>
    <s v="Sounds Unusual"/>
    <s v="Ntd"/>
    <m/>
    <x v="0"/>
    <x v="0"/>
    <n v="100"/>
    <s v=""/>
    <n v="-100"/>
    <x v="1"/>
    <s v=""/>
    <n v="-200"/>
    <x v="0"/>
    <n v="200"/>
    <s v=""/>
    <n v="-200"/>
    <x v="1"/>
    <s v="Sat"/>
    <s v="Sounds Unusual"/>
  </r>
  <r>
    <x v="59"/>
    <d v="1899-12-30T14:35:00"/>
    <x v="28"/>
    <n v="7"/>
    <n v="4"/>
    <s v="Oak Hill"/>
    <s v="2nd"/>
    <m/>
    <x v="0"/>
    <x v="1"/>
    <n v="100"/>
    <s v=""/>
    <n v="-100"/>
    <x v="0"/>
    <s v=""/>
    <n v="-100"/>
    <x v="0"/>
    <n v="100"/>
    <s v=""/>
    <n v="-100"/>
    <x v="1"/>
    <s v="Sat"/>
    <s v="Oak Hill"/>
  </r>
  <r>
    <x v="59"/>
    <d v="1899-12-30T14:55:00"/>
    <x v="0"/>
    <n v="5"/>
    <n v="11"/>
    <s v="Trapalanda"/>
    <m/>
    <m/>
    <x v="1"/>
    <x v="0"/>
    <n v="100"/>
    <s v=""/>
    <n v="-100"/>
    <x v="3"/>
    <s v=""/>
    <n v="-150"/>
    <x v="0"/>
    <n v="150"/>
    <s v=""/>
    <n v="-150"/>
    <x v="1"/>
    <s v="Sat"/>
    <s v="Trapalanda"/>
  </r>
  <r>
    <x v="59"/>
    <d v="1899-12-30T15:30:00"/>
    <x v="0"/>
    <n v="6"/>
    <n v="11"/>
    <s v="Highway Strip"/>
    <m/>
    <m/>
    <x v="0"/>
    <x v="0"/>
    <n v="100"/>
    <s v=""/>
    <n v="-100"/>
    <x v="3"/>
    <s v=""/>
    <n v="-150"/>
    <x v="1"/>
    <n v="150"/>
    <s v=""/>
    <n v="-150"/>
    <x v="1"/>
    <s v="Sat"/>
    <s v="Highway Strip"/>
  </r>
  <r>
    <x v="59"/>
    <d v="1899-12-30T15:30:00"/>
    <x v="0"/>
    <n v="6"/>
    <n v="11"/>
    <s v="Highway Strip"/>
    <m/>
    <m/>
    <x v="1"/>
    <x v="0"/>
    <n v="100"/>
    <s v=""/>
    <n v="-100"/>
    <x v="3"/>
    <s v=""/>
    <n v="-150"/>
    <x v="0"/>
    <s v=""/>
    <s v=""/>
    <s v=""/>
    <x v="1"/>
    <s v="Sat"/>
    <s v="Highway Strip"/>
  </r>
  <r>
    <x v="59"/>
    <d v="1899-12-30T15:45:00"/>
    <x v="28"/>
    <n v="9"/>
    <n v="11"/>
    <s v="Justadeel"/>
    <s v="3rd"/>
    <m/>
    <x v="0"/>
    <x v="1"/>
    <n v="100"/>
    <s v=""/>
    <n v="-100"/>
    <x v="0"/>
    <s v=""/>
    <n v="-100"/>
    <x v="0"/>
    <n v="100"/>
    <s v=""/>
    <n v="-100"/>
    <x v="1"/>
    <s v="Sat"/>
    <s v="Justadeel"/>
  </r>
  <r>
    <x v="59"/>
    <d v="1899-12-30T15:45:00"/>
    <x v="28"/>
    <n v="9"/>
    <n v="3"/>
    <s v="Regal Zeus"/>
    <s v="1st"/>
    <n v="3.6"/>
    <x v="0"/>
    <x v="1"/>
    <n v="100"/>
    <n v="360"/>
    <n v="260"/>
    <x v="3"/>
    <n v="540"/>
    <n v="390"/>
    <x v="0"/>
    <n v="150"/>
    <n v="540"/>
    <n v="390"/>
    <x v="1"/>
    <s v="Sat"/>
    <s v="Regal Zeus"/>
  </r>
  <r>
    <x v="59"/>
    <d v="1899-12-30T16:05:00"/>
    <x v="0"/>
    <n v="7"/>
    <n v="6"/>
    <s v="Welcometotheshow"/>
    <s v="1st"/>
    <n v="3.9"/>
    <x v="1"/>
    <x v="0"/>
    <n v="100"/>
    <n v="390"/>
    <n v="290"/>
    <x v="3"/>
    <n v="585"/>
    <n v="435"/>
    <x v="0"/>
    <n v="150"/>
    <n v="585"/>
    <n v="435"/>
    <x v="1"/>
    <s v="Sat"/>
    <s v="Welcometotheshow"/>
  </r>
  <r>
    <x v="59"/>
    <d v="1899-12-30T16:25:00"/>
    <x v="28"/>
    <n v="10"/>
    <n v="12"/>
    <s v="Yes I Know"/>
    <m/>
    <m/>
    <x v="0"/>
    <x v="1"/>
    <n v="100"/>
    <s v=""/>
    <n v="-100"/>
    <x v="1"/>
    <s v=""/>
    <n v="-200"/>
    <x v="1"/>
    <n v="200"/>
    <s v=""/>
    <n v="-200"/>
    <x v="1"/>
    <s v="Sat"/>
    <s v="Yes I Know"/>
  </r>
  <r>
    <x v="59"/>
    <d v="1899-12-30T16:25:00"/>
    <x v="9"/>
    <n v="10"/>
    <n v="12"/>
    <s v="Yes I Know"/>
    <m/>
    <m/>
    <x v="1"/>
    <x v="1"/>
    <n v="100"/>
    <s v=""/>
    <n v="-100"/>
    <x v="1"/>
    <s v=""/>
    <n v="-200"/>
    <x v="0"/>
    <s v=""/>
    <s v=""/>
    <s v=""/>
    <x v="1"/>
    <s v="Sat"/>
    <s v="Yes I Know"/>
  </r>
  <r>
    <x v="59"/>
    <d v="1899-12-30T17:55:00"/>
    <x v="0"/>
    <n v="10"/>
    <n v="4"/>
    <s v="Captain Furai"/>
    <s v="3rd"/>
    <m/>
    <x v="0"/>
    <x v="0"/>
    <n v="100"/>
    <s v=""/>
    <n v="-100"/>
    <x v="0"/>
    <s v=""/>
    <n v="-100"/>
    <x v="0"/>
    <n v="100"/>
    <s v=""/>
    <n v="-100"/>
    <x v="1"/>
    <s v="Sat"/>
    <s v="Captain Furai"/>
  </r>
  <r>
    <x v="60"/>
    <d v="1899-12-30T12:20:00"/>
    <x v="28"/>
    <n v="1"/>
    <n v="6"/>
    <s v="Jenni'S Meadow"/>
    <s v="2nd"/>
    <m/>
    <x v="0"/>
    <x v="1"/>
    <n v="100"/>
    <s v=""/>
    <n v="-100"/>
    <x v="0"/>
    <s v=""/>
    <n v="-100"/>
    <x v="0"/>
    <n v="100"/>
    <s v=""/>
    <n v="-100"/>
    <x v="1"/>
    <s v="Sat"/>
    <s v="Jenni'S Meadow"/>
  </r>
  <r>
    <x v="60"/>
    <d v="1899-12-30T13:53:00"/>
    <x v="4"/>
    <n v="2"/>
    <n v="11"/>
    <s v="Spiethtacular"/>
    <s v="2nd"/>
    <m/>
    <x v="1"/>
    <x v="2"/>
    <n v="100"/>
    <s v=""/>
    <n v="-100"/>
    <x v="0"/>
    <s v=""/>
    <n v="-100"/>
    <x v="0"/>
    <n v="100"/>
    <s v=""/>
    <n v="-100"/>
    <x v="1"/>
    <s v="Sat"/>
    <s v="Spiethtacular"/>
  </r>
  <r>
    <x v="60"/>
    <d v="1899-12-30T14:00:00"/>
    <x v="28"/>
    <n v="4"/>
    <n v="4"/>
    <s v="Dictionary"/>
    <m/>
    <m/>
    <x v="0"/>
    <x v="1"/>
    <n v="100"/>
    <s v=""/>
    <n v="-100"/>
    <x v="4"/>
    <s v=""/>
    <n v="-50"/>
    <x v="0"/>
    <n v="50"/>
    <s v=""/>
    <n v="-50"/>
    <x v="1"/>
    <s v="Sat"/>
    <s v="Dictionary"/>
  </r>
  <r>
    <x v="60"/>
    <d v="1899-12-30T14:00:00"/>
    <x v="28"/>
    <n v="4"/>
    <n v="6"/>
    <s v="Sun Gift"/>
    <s v="2nd"/>
    <m/>
    <x v="0"/>
    <x v="1"/>
    <n v="100"/>
    <s v=""/>
    <n v="-100"/>
    <x v="5"/>
    <s v=""/>
    <n v="-160"/>
    <x v="0"/>
    <n v="160"/>
    <s v=""/>
    <n v="-160"/>
    <x v="1"/>
    <s v="Sat"/>
    <s v="Sun Gift"/>
  </r>
  <r>
    <x v="60"/>
    <d v="1899-12-30T14:28:00"/>
    <x v="4"/>
    <n v="3"/>
    <n v="8"/>
    <s v="Akkadian Emperor"/>
    <s v="2nd"/>
    <m/>
    <x v="1"/>
    <x v="2"/>
    <n v="100"/>
    <s v=""/>
    <n v="-100"/>
    <x v="0"/>
    <s v=""/>
    <n v="-100"/>
    <x v="0"/>
    <n v="100"/>
    <s v=""/>
    <n v="-100"/>
    <x v="1"/>
    <s v="Sat"/>
    <s v="Akkadian Emperor"/>
  </r>
  <r>
    <x v="60"/>
    <d v="1899-12-30T14:55:00"/>
    <x v="5"/>
    <n v="5"/>
    <n v="10"/>
    <s v="Sovereign Hill"/>
    <s v="1st"/>
    <n v="2.4"/>
    <x v="0"/>
    <x v="0"/>
    <n v="100"/>
    <n v="240"/>
    <n v="140"/>
    <x v="3"/>
    <n v="360"/>
    <n v="210"/>
    <x v="0"/>
    <n v="150"/>
    <n v="360"/>
    <n v="210"/>
    <x v="1"/>
    <s v="Sat"/>
    <s v="Sovereign Hill"/>
  </r>
  <r>
    <x v="60"/>
    <d v="1899-12-30T15:03:00"/>
    <x v="4"/>
    <n v="4"/>
    <n v="4"/>
    <s v="Edited By"/>
    <m/>
    <m/>
    <x v="1"/>
    <x v="2"/>
    <n v="100"/>
    <s v=""/>
    <n v="-100"/>
    <x v="0"/>
    <s v=""/>
    <n v="-100"/>
    <x v="0"/>
    <n v="100"/>
    <s v=""/>
    <n v="-100"/>
    <x v="1"/>
    <s v="Sat"/>
    <s v="Edited By"/>
  </r>
  <r>
    <x v="60"/>
    <d v="1899-12-30T16:05:00"/>
    <x v="5"/>
    <n v="7"/>
    <n v="4"/>
    <s v="Roselyn'S Star"/>
    <s v="2nd"/>
    <m/>
    <x v="0"/>
    <x v="0"/>
    <n v="100"/>
    <s v=""/>
    <n v="-100"/>
    <x v="3"/>
    <s v=""/>
    <n v="-150"/>
    <x v="0"/>
    <n v="150"/>
    <s v=""/>
    <n v="-150"/>
    <x v="1"/>
    <s v="Sat"/>
    <s v="Roselyn'S Star"/>
  </r>
  <r>
    <x v="60"/>
    <d v="1899-12-30T16:05:00"/>
    <x v="5"/>
    <n v="7"/>
    <n v="9"/>
    <s v="Sixties"/>
    <s v="1st"/>
    <n v="4.2"/>
    <x v="0"/>
    <x v="0"/>
    <n v="100"/>
    <n v="420"/>
    <n v="320"/>
    <x v="6"/>
    <n v="588"/>
    <n v="448"/>
    <x v="0"/>
    <n v="140"/>
    <n v="588"/>
    <n v="448"/>
    <x v="1"/>
    <s v="Sat"/>
    <s v="Sixties"/>
  </r>
  <r>
    <x v="60"/>
    <d v="1899-12-30T16:25:00"/>
    <x v="28"/>
    <n v="8"/>
    <n v="4"/>
    <s v="Rue De Royale"/>
    <m/>
    <m/>
    <x v="0"/>
    <x v="1"/>
    <n v="100"/>
    <s v=""/>
    <n v="-100"/>
    <x v="3"/>
    <s v=""/>
    <n v="-150"/>
    <x v="0"/>
    <n v="150"/>
    <s v=""/>
    <n v="-150"/>
    <x v="1"/>
    <s v="Sat"/>
    <s v="Rue De Royale"/>
  </r>
  <r>
    <x v="60"/>
    <d v="1899-12-30T16:45:00"/>
    <x v="5"/>
    <n v="8"/>
    <n v="7"/>
    <s v="Fire Star"/>
    <m/>
    <m/>
    <x v="0"/>
    <x v="0"/>
    <n v="100"/>
    <s v=""/>
    <n v="-100"/>
    <x v="0"/>
    <s v=""/>
    <n v="-100"/>
    <x v="0"/>
    <n v="100"/>
    <s v=""/>
    <n v="-100"/>
    <x v="1"/>
    <s v="Sat"/>
    <s v="Fire Star"/>
  </r>
  <r>
    <x v="60"/>
    <d v="1899-12-30T17:20:00"/>
    <x v="5"/>
    <n v="9"/>
    <n v="8"/>
    <s v="Existential Bob"/>
    <s v="2nd"/>
    <m/>
    <x v="0"/>
    <x v="0"/>
    <n v="100"/>
    <s v=""/>
    <n v="-100"/>
    <x v="0"/>
    <s v=""/>
    <n v="-100"/>
    <x v="0"/>
    <n v="100"/>
    <s v=""/>
    <n v="-100"/>
    <x v="1"/>
    <s v="Sat"/>
    <s v="Existential Bob"/>
  </r>
  <r>
    <x v="60"/>
    <d v="1899-12-30T17:32:00"/>
    <x v="4"/>
    <n v="8"/>
    <n v="2"/>
    <s v="Battlefield"/>
    <s v="1st"/>
    <n v="2.8"/>
    <x v="1"/>
    <x v="2"/>
    <n v="100"/>
    <n v="280"/>
    <n v="180"/>
    <x v="0"/>
    <n v="280"/>
    <n v="180"/>
    <x v="0"/>
    <n v="100"/>
    <n v="280"/>
    <n v="180"/>
    <x v="1"/>
    <s v="Sat"/>
    <s v="Battlefield"/>
  </r>
  <r>
    <x v="60"/>
    <d v="1899-12-30T17:40:00"/>
    <x v="28"/>
    <n v="10"/>
    <n v="9"/>
    <s v="Porter"/>
    <m/>
    <m/>
    <x v="0"/>
    <x v="1"/>
    <n v="100"/>
    <s v=""/>
    <n v="-100"/>
    <x v="3"/>
    <s v=""/>
    <n v="-150"/>
    <x v="0"/>
    <n v="150"/>
    <s v=""/>
    <n v="-150"/>
    <x v="1"/>
    <s v="Sat"/>
    <s v="Porter"/>
  </r>
  <r>
    <x v="60"/>
    <d v="1899-12-30T17:40:00"/>
    <x v="9"/>
    <n v="10"/>
    <n v="6"/>
    <s v="Zouper Fund"/>
    <m/>
    <m/>
    <x v="1"/>
    <x v="1"/>
    <n v="100"/>
    <s v=""/>
    <n v="-100"/>
    <x v="0"/>
    <s v=""/>
    <n v="-100"/>
    <x v="0"/>
    <n v="100"/>
    <s v=""/>
    <n v="-100"/>
    <x v="1"/>
    <s v="Sat"/>
    <s v="Zouper Fund"/>
  </r>
  <r>
    <x v="60"/>
    <d v="1899-12-30T17:55:00"/>
    <x v="5"/>
    <n v="10"/>
    <n v="13"/>
    <s v="Nepo Baby"/>
    <s v="3rd"/>
    <m/>
    <x v="0"/>
    <x v="0"/>
    <n v="100"/>
    <s v=""/>
    <n v="-100"/>
    <x v="3"/>
    <s v=""/>
    <n v="-150"/>
    <x v="0"/>
    <n v="150"/>
    <s v=""/>
    <n v="-150"/>
    <x v="1"/>
    <s v="Sat"/>
    <s v="Nepo Baby"/>
  </r>
  <r>
    <x v="60"/>
    <d v="1899-12-30T18:10:00"/>
    <x v="4"/>
    <n v="9"/>
    <n v="12"/>
    <s v="Tiger Tie"/>
    <s v="1st"/>
    <n v="4.2"/>
    <x v="1"/>
    <x v="2"/>
    <n v="100"/>
    <n v="420"/>
    <n v="320"/>
    <x v="0"/>
    <n v="420"/>
    <n v="320"/>
    <x v="0"/>
    <n v="100"/>
    <n v="420"/>
    <n v="320"/>
    <x v="1"/>
    <s v="Sat"/>
    <s v="Tiger Tie"/>
  </r>
  <r>
    <x v="60"/>
    <d v="1899-12-30T18:48:00"/>
    <x v="4"/>
    <n v="10"/>
    <n v="11"/>
    <s v="True Amor"/>
    <m/>
    <m/>
    <x v="1"/>
    <x v="2"/>
    <n v="100"/>
    <s v=""/>
    <n v="-100"/>
    <x v="0"/>
    <s v=""/>
    <n v="-100"/>
    <x v="0"/>
    <n v="100"/>
    <s v=""/>
    <n v="-100"/>
    <x v="1"/>
    <s v="Sat"/>
    <s v="True Amor"/>
  </r>
  <r>
    <x v="61"/>
    <d v="1899-12-30T12:45:00"/>
    <x v="28"/>
    <n v="2"/>
    <n v="2"/>
    <s v="Magnaspin"/>
    <s v="2nd"/>
    <m/>
    <x v="0"/>
    <x v="1"/>
    <n v="100"/>
    <s v=""/>
    <n v="-100"/>
    <x v="3"/>
    <s v=""/>
    <n v="-150"/>
    <x v="0"/>
    <n v="150"/>
    <s v=""/>
    <n v="-150"/>
    <x v="1"/>
    <s v="Sat"/>
    <s v="Magnaspin"/>
  </r>
  <r>
    <x v="61"/>
    <d v="1899-12-30T12:45:00"/>
    <x v="9"/>
    <n v="2"/>
    <n v="3"/>
    <s v="Suntora"/>
    <s v="1st"/>
    <n v="1.8"/>
    <x v="1"/>
    <x v="1"/>
    <n v="100"/>
    <n v="180"/>
    <n v="80"/>
    <x v="0"/>
    <n v="180"/>
    <n v="80"/>
    <x v="0"/>
    <n v="100"/>
    <n v="180"/>
    <n v="80"/>
    <x v="1"/>
    <s v="Sat"/>
    <s v="Suntora"/>
  </r>
  <r>
    <x v="61"/>
    <d v="1899-12-30T14:15:00"/>
    <x v="0"/>
    <n v="4"/>
    <n v="7"/>
    <s v="Lancelot Du Lac"/>
    <s v="3rd"/>
    <m/>
    <x v="0"/>
    <x v="0"/>
    <n v="100"/>
    <s v=""/>
    <n v="-100"/>
    <x v="3"/>
    <s v=""/>
    <n v="-150"/>
    <x v="0"/>
    <n v="150"/>
    <s v=""/>
    <n v="-150"/>
    <x v="1"/>
    <s v="Sat"/>
    <s v="Lancelot Du Lac"/>
  </r>
  <r>
    <x v="61"/>
    <d v="1899-12-30T14:50:00"/>
    <x v="0"/>
    <n v="5"/>
    <n v="7"/>
    <s v="Monte Veebee"/>
    <s v="3rd"/>
    <m/>
    <x v="0"/>
    <x v="0"/>
    <n v="100"/>
    <s v=""/>
    <n v="-100"/>
    <x v="1"/>
    <s v=""/>
    <n v="-200"/>
    <x v="0"/>
    <n v="200"/>
    <s v=""/>
    <n v="-200"/>
    <x v="1"/>
    <s v="Sat"/>
    <s v="Monte Veebee"/>
  </r>
  <r>
    <x v="61"/>
    <d v="1899-12-30T15:05:00"/>
    <x v="28"/>
    <n v="6"/>
    <n v="1"/>
    <s v="Hedged"/>
    <s v="Ntd"/>
    <m/>
    <x v="0"/>
    <x v="1"/>
    <n v="100"/>
    <s v=""/>
    <n v="-100"/>
    <x v="0"/>
    <s v=""/>
    <n v="-100"/>
    <x v="0"/>
    <n v="100"/>
    <s v=""/>
    <n v="-100"/>
    <x v="1"/>
    <s v="Sat"/>
    <s v="Hedged"/>
  </r>
  <r>
    <x v="61"/>
    <d v="1899-12-30T15:05:00"/>
    <x v="28"/>
    <n v="6"/>
    <n v="5"/>
    <s v="Oak Hill"/>
    <s v="1st"/>
    <n v="4.8"/>
    <x v="0"/>
    <x v="1"/>
    <n v="100"/>
    <n v="480"/>
    <n v="380"/>
    <x v="0"/>
    <n v="480"/>
    <n v="380"/>
    <x v="0"/>
    <n v="100"/>
    <n v="480"/>
    <n v="380"/>
    <x v="1"/>
    <s v="Sat"/>
    <s v="Oak Hill"/>
  </r>
  <r>
    <x v="61"/>
    <d v="1899-12-30T15:25:00"/>
    <x v="0"/>
    <n v="6"/>
    <n v="6"/>
    <s v="Cinsault"/>
    <s v="1st"/>
    <n v="2.35"/>
    <x v="0"/>
    <x v="0"/>
    <n v="100"/>
    <n v="235"/>
    <n v="135"/>
    <x v="3"/>
    <n v="352.5"/>
    <n v="202.5"/>
    <x v="0"/>
    <n v="150"/>
    <n v="352.5"/>
    <n v="202.5"/>
    <x v="1"/>
    <s v="Sat"/>
    <s v="Cinsault"/>
  </r>
  <r>
    <x v="61"/>
    <d v="1899-12-30T15:40:00"/>
    <x v="9"/>
    <n v="7"/>
    <n v="3"/>
    <s v="Feroce"/>
    <s v="2nd"/>
    <m/>
    <x v="1"/>
    <x v="1"/>
    <n v="100"/>
    <s v=""/>
    <n v="-100"/>
    <x v="1"/>
    <s v=""/>
    <n v="-200"/>
    <x v="0"/>
    <n v="200"/>
    <s v=""/>
    <n v="-200"/>
    <x v="1"/>
    <s v="Sat"/>
    <s v="Feroce"/>
  </r>
  <r>
    <x v="61"/>
    <d v="1899-12-30T15:40:00"/>
    <x v="28"/>
    <n v="7"/>
    <n v="1"/>
    <s v="Tom Kitten"/>
    <s v="1st"/>
    <n v="3"/>
    <x v="0"/>
    <x v="1"/>
    <n v="100"/>
    <n v="300"/>
    <n v="200"/>
    <x v="0"/>
    <n v="300"/>
    <n v="200"/>
    <x v="0"/>
    <n v="100"/>
    <n v="300"/>
    <n v="200"/>
    <x v="1"/>
    <s v="Sat"/>
    <s v="Tom Kitten"/>
  </r>
  <r>
    <x v="61"/>
    <d v="1899-12-30T16:15:00"/>
    <x v="28"/>
    <n v="8"/>
    <n v="2"/>
    <s v="Alpha Sofie"/>
    <s v="1st"/>
    <n v="3.8"/>
    <x v="0"/>
    <x v="1"/>
    <n v="100"/>
    <n v="380"/>
    <n v="280"/>
    <x v="2"/>
    <n v="456"/>
    <n v="336"/>
    <x v="1"/>
    <n v="110"/>
    <n v="418"/>
    <n v="308"/>
    <x v="1"/>
    <s v="Sat"/>
    <s v="Alpha Sofie"/>
  </r>
  <r>
    <x v="61"/>
    <d v="1899-12-30T16:15:00"/>
    <x v="9"/>
    <n v="8"/>
    <n v="2"/>
    <s v="Alpha Sofie"/>
    <s v="1st"/>
    <n v="3.8"/>
    <x v="1"/>
    <x v="1"/>
    <n v="100"/>
    <n v="380"/>
    <n v="280"/>
    <x v="0"/>
    <n v="380"/>
    <n v="280"/>
    <x v="0"/>
    <s v=""/>
    <s v=""/>
    <s v=""/>
    <x v="1"/>
    <s v="Sat"/>
    <s v="Alpha Sofie"/>
  </r>
  <r>
    <x v="61"/>
    <d v="1899-12-30T16:55:00"/>
    <x v="28"/>
    <n v="9"/>
    <n v="1"/>
    <s v="Light Infantry Man"/>
    <s v="1st"/>
    <n v="5"/>
    <x v="0"/>
    <x v="1"/>
    <n v="100"/>
    <n v="500"/>
    <n v="400"/>
    <x v="3"/>
    <n v="750"/>
    <n v="600"/>
    <x v="0"/>
    <n v="150"/>
    <n v="750"/>
    <n v="600"/>
    <x v="1"/>
    <s v="Sat"/>
    <s v="Light Infantry Man"/>
  </r>
  <r>
    <x v="61"/>
    <d v="1899-12-30T16:55:00"/>
    <x v="9"/>
    <n v="9"/>
    <n v="12"/>
    <s v="Welcometotheshow"/>
    <m/>
    <m/>
    <x v="1"/>
    <x v="1"/>
    <n v="100"/>
    <s v=""/>
    <n v="-100"/>
    <x v="0"/>
    <s v=""/>
    <n v="-100"/>
    <x v="0"/>
    <n v="100"/>
    <s v=""/>
    <n v="-100"/>
    <x v="1"/>
    <s v="Sat"/>
    <s v="Welcometotheshow"/>
  </r>
  <r>
    <x v="61"/>
    <d v="1899-12-30T17:15:00"/>
    <x v="0"/>
    <n v="9"/>
    <n v="16"/>
    <s v="Sun God"/>
    <s v="1st"/>
    <n v="5.5"/>
    <x v="0"/>
    <x v="0"/>
    <n v="100"/>
    <n v="550"/>
    <n v="450"/>
    <x v="0"/>
    <n v="550"/>
    <n v="450"/>
    <x v="1"/>
    <n v="125"/>
    <n v="687.5"/>
    <n v="562.5"/>
    <x v="1"/>
    <s v="Sat"/>
    <s v="Sun God"/>
  </r>
  <r>
    <x v="61"/>
    <d v="1899-12-30T17:15:00"/>
    <x v="0"/>
    <n v="9"/>
    <n v="16"/>
    <s v="Sun God"/>
    <s v="1st"/>
    <n v="5.5"/>
    <x v="1"/>
    <x v="0"/>
    <n v="100"/>
    <n v="550"/>
    <n v="450"/>
    <x v="3"/>
    <n v="825"/>
    <n v="675"/>
    <x v="0"/>
    <s v=""/>
    <s v=""/>
    <s v=""/>
    <x v="1"/>
    <s v="Sat"/>
    <s v="Sun God"/>
  </r>
  <r>
    <x v="61"/>
    <d v="1899-12-30T17:35:00"/>
    <x v="28"/>
    <n v="10"/>
    <n v="8"/>
    <s v="Ahha Ahha"/>
    <s v="2nd"/>
    <m/>
    <x v="0"/>
    <x v="1"/>
    <n v="100"/>
    <s v=""/>
    <n v="-100"/>
    <x v="0"/>
    <s v=""/>
    <n v="-100"/>
    <x v="1"/>
    <n v="150"/>
    <s v=""/>
    <n v="-150"/>
    <x v="1"/>
    <s v="Sat"/>
    <s v="Ahha Ahha"/>
  </r>
  <r>
    <x v="61"/>
    <d v="1899-12-30T17:35:00"/>
    <x v="9"/>
    <n v="10"/>
    <n v="8"/>
    <s v="Ahha Ahha"/>
    <s v="2nd"/>
    <m/>
    <x v="1"/>
    <x v="1"/>
    <n v="100"/>
    <s v=""/>
    <n v="-100"/>
    <x v="1"/>
    <s v=""/>
    <n v="-200"/>
    <x v="0"/>
    <s v=""/>
    <s v=""/>
    <s v=""/>
    <x v="1"/>
    <s v="Sat"/>
    <s v="Ahha Ahha"/>
  </r>
  <r>
    <x v="61"/>
    <d v="1899-12-30T17:55:00"/>
    <x v="0"/>
    <n v="10"/>
    <n v="10"/>
    <s v="Lulumon"/>
    <s v="3rd"/>
    <m/>
    <x v="0"/>
    <x v="0"/>
    <n v="100"/>
    <s v=""/>
    <n v="-100"/>
    <x v="0"/>
    <s v=""/>
    <n v="-100"/>
    <x v="0"/>
    <n v="100"/>
    <s v=""/>
    <n v="-100"/>
    <x v="1"/>
    <s v="Sat"/>
    <s v="Lulumon"/>
  </r>
  <r>
    <x v="61"/>
    <d v="1899-12-30T18:10:00"/>
    <x v="7"/>
    <n v="9"/>
    <n v="3"/>
    <s v="Hell"/>
    <s v="3rd"/>
    <m/>
    <x v="1"/>
    <x v="2"/>
    <n v="100"/>
    <s v=""/>
    <n v="-100"/>
    <x v="0"/>
    <s v=""/>
    <n v="-100"/>
    <x v="0"/>
    <n v="100"/>
    <s v=""/>
    <n v="-100"/>
    <x v="1"/>
    <s v="Sat"/>
    <s v="Hel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B63544-9B46-4114-B33F-AFAC38098B8E}" name="PivotTable1" cacheId="28" applyNumberFormats="0" applyBorderFormats="0" applyFontFormats="0" applyPatternFormats="0" applyAlignmentFormats="0" applyWidthHeightFormats="1" dataCaption="Values" updatedVersion="8" minRefreshableVersion="3" itemPrintTitles="1" createdVersion="8" indent="0" outline="1" outlineData="1" multipleFieldFilters="0" rowHeaderCaption="Date">
  <location ref="E9:I26" firstHeaderRow="0" firstDataRow="1" firstDataCol="1" rowPageCount="6" colPageCount="1"/>
  <pivotFields count="25">
    <pivotField numFmtId="164" showAll="0" sortType="ascending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numFmtId="18" showAll="0"/>
    <pivotField axis="axisPage" multipleItemSelectionAllowed="1" showAll="0">
      <items count="35">
        <item m="1" x="31"/>
        <item x="11"/>
        <item x="28"/>
        <item x="9"/>
        <item x="7"/>
        <item x="4"/>
        <item x="27"/>
        <item x="2"/>
        <item x="17"/>
        <item x="1"/>
        <item x="14"/>
        <item x="13"/>
        <item x="16"/>
        <item x="10"/>
        <item m="1" x="32"/>
        <item x="12"/>
        <item m="1" x="30"/>
        <item x="18"/>
        <item x="0"/>
        <item x="5"/>
        <item x="8"/>
        <item x="6"/>
        <item m="1" x="33"/>
        <item m="1" x="29"/>
        <item x="15"/>
        <item x="3"/>
        <item x="19"/>
        <item x="20"/>
        <item x="21"/>
        <item x="22"/>
        <item x="23"/>
        <item x="24"/>
        <item x="25"/>
        <item x="26"/>
        <item t="default"/>
      </items>
    </pivotField>
    <pivotField numFmtId="1" showAll="0"/>
    <pivotField numFmtId="1" showAll="0"/>
    <pivotField showAll="0"/>
    <pivotField showAll="0"/>
    <pivotField showAll="0"/>
    <pivotField axis="axisPage" multipleItemSelectionAllowed="1" showAll="0">
      <items count="3">
        <item x="0"/>
        <item x="1"/>
        <item t="default"/>
      </items>
    </pivotField>
    <pivotField axis="axisPage" showAll="0">
      <items count="5">
        <item x="0"/>
        <item x="2"/>
        <item x="1"/>
        <item m="1" x="3"/>
        <item t="default"/>
      </items>
    </pivotField>
    <pivotField showAll="0"/>
    <pivotField showAll="0"/>
    <pivotField numFmtId="1" showAll="0"/>
    <pivotField axis="axisPage" dataField="1" numFmtId="1" multipleItemSelectionAllowed="1" showAll="0">
      <items count="9">
        <item x="4"/>
        <item x="0"/>
        <item x="2"/>
        <item x="6"/>
        <item x="3"/>
        <item x="1"/>
        <item x="5"/>
        <item x="7"/>
        <item t="default"/>
      </items>
    </pivotField>
    <pivotField dataField="1" showAll="0"/>
    <pivotField dataField="1" numFmtId="1" showAll="0"/>
    <pivotField axis="axisPage" numFmtId="1" multipleItemSelectionAllowed="1" showAll="0">
      <items count="3">
        <item x="0"/>
        <item h="1" x="1"/>
        <item t="default"/>
      </items>
    </pivotField>
    <pivotField showAll="0"/>
    <pivotField showAll="0"/>
    <pivotField showAll="0"/>
    <pivotField axis="axisPage" multipleItemSelectionAllowed="1" showAll="0">
      <items count="3">
        <item x="0"/>
        <item x="1"/>
        <item t="default"/>
      </items>
    </pivotField>
    <pivotField showAll="0"/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</pivotFields>
  <rowFields count="2">
    <field x="24"/>
    <field x="23"/>
  </rowFields>
  <rowItems count="17"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2"/>
    </i>
    <i r="1">
      <x v="1"/>
    </i>
    <i r="1"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6">
    <pageField fld="13" hier="-1"/>
    <pageField fld="16" hier="-1"/>
    <pageField fld="8" hier="-1"/>
    <pageField fld="2" hier="-1"/>
    <pageField fld="9" hier="-1"/>
    <pageField fld="20" hier="-1"/>
  </pageFields>
  <dataFields count="4">
    <dataField name="Count of Nat and Combo Bet" fld="13" subtotal="count" baseField="0" baseItem="1"/>
    <dataField name="Sum of Nat and Combo Bet2" fld="13" baseField="0" baseItem="0" numFmtId="1"/>
    <dataField name="Sum of Nat and Combo Return" fld="14" baseField="0" baseItem="1" numFmtId="1"/>
    <dataField name="Sum of Nat and Combo Profit" fld="15" baseField="0" baseItem="0" numFmtId="1"/>
  </dataFields>
  <formats count="26">
    <format dxfId="45">
      <pivotArea type="all" dataOnly="0" outline="0" fieldPosition="0"/>
    </format>
    <format dxfId="44">
      <pivotArea outline="0" collapsedLevelsAreSubtotals="1" fieldPosition="0"/>
    </format>
    <format dxfId="43">
      <pivotArea field="0" type="button" dataOnly="0" labelOnly="1" outline="0"/>
    </format>
    <format dxfId="42">
      <pivotArea dataOnly="0" labelOnly="1" grandRow="1" outline="0" fieldPosition="0"/>
    </format>
    <format dxfId="4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0">
      <pivotArea field="0" type="button" dataOnly="0" labelOnly="1" outline="0"/>
    </format>
    <format dxfId="3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field="0" type="button" dataOnly="0" labelOnly="1" outline="0"/>
    </format>
    <format dxfId="35">
      <pivotArea dataOnly="0" labelOnly="1" grandRow="1" outline="0" fieldPosition="0"/>
    </format>
    <format dxfId="3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3">
      <pivotArea type="all" dataOnly="0" outline="0" fieldPosition="0"/>
    </format>
    <format dxfId="32">
      <pivotArea outline="0" collapsedLevelsAreSubtotals="1" fieldPosition="0"/>
    </format>
    <format dxfId="31">
      <pivotArea field="0" type="button" dataOnly="0" labelOnly="1" outline="0"/>
    </format>
    <format dxfId="30">
      <pivotArea dataOnly="0" labelOnly="1" grandRow="1" outline="0" fieldPosition="0"/>
    </format>
    <format dxfId="2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8">
      <pivotArea type="all" dataOnly="0" outline="0" fieldPosition="0"/>
    </format>
    <format dxfId="27">
      <pivotArea outline="0" collapsedLevelsAreSubtotals="1" fieldPosition="0"/>
    </format>
    <format dxfId="26">
      <pivotArea field="0" type="button" dataOnly="0" labelOnly="1" outline="0"/>
    </format>
    <format dxfId="25">
      <pivotArea dataOnly="0" labelOnly="1" grandRow="1" outline="0" fieldPosition="0"/>
    </format>
    <format dxfId="2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3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22">
      <pivotArea grandRow="1" outline="0" collapsedLevelsAreSubtotals="1" fieldPosition="0"/>
    </format>
    <format dxfId="21">
      <pivotArea dataOnly="0" labelOnly="1" grandRow="1" outline="0" fieldPosition="0"/>
    </format>
    <format dxfId="20">
      <pivotArea dataOnly="0" labelOnly="1" outline="0" fieldPosition="0">
        <references count="1">
          <reference field="4294967294" count="1">
            <x v="3"/>
          </reference>
        </references>
      </pivotArea>
    </format>
  </formats>
  <conditionalFormats count="2">
    <conditionalFormat priority="2">
      <pivotAreas count="1">
        <pivotArea type="data" outline="0" collapsedLevelsAreSubtotals="1" fieldPosition="0">
          <references count="1">
            <reference field="4294967294" count="1" selected="0">
              <x v="3"/>
            </reference>
          </references>
        </pivotArea>
      </pivotAreas>
    </conditionalFormat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3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8DA5C9-A084-4801-81A1-C960E632AC58}" name="Table13232" displayName="Table13232" ref="A6:W823" totalsRowShown="0" headerRowDxfId="77" dataDxfId="75" headerRowBorderDxfId="76" tableBorderDxfId="74" totalsRowBorderDxfId="73">
  <autoFilter ref="A6:W823" xr:uid="{97B6BE5C-30AC-4F7B-8D99-6DA2D1EB727D}"/>
  <sortState xmlns:xlrd2="http://schemas.microsoft.com/office/spreadsheetml/2017/richdata2" ref="A7:W823">
    <sortCondition ref="A7:A823"/>
    <sortCondition ref="B7:B823"/>
    <sortCondition ref="F7:F823"/>
    <sortCondition ref="I7:I823"/>
  </sortState>
  <tableColumns count="23">
    <tableColumn id="112" xr3:uid="{4470A407-0CC5-48B9-B362-25E45E9EAF94}" name="Date" dataDxfId="72"/>
    <tableColumn id="128" xr3:uid="{615AF875-5E30-49C2-8A0C-6CD82E95565C}" name="Time" dataDxfId="71"/>
    <tableColumn id="111" xr3:uid="{E7FFA436-CFA7-4DF8-BF44-46C9C625DDCC}" name="Track" dataDxfId="70"/>
    <tableColumn id="130" xr3:uid="{7B8270DC-15C8-4194-A17D-4A50D5BE0054}" name="Race" dataDxfId="69"/>
    <tableColumn id="131" xr3:uid="{D7D26639-3954-4C95-9714-27E759B21F5B}" name="TAB" dataDxfId="68"/>
    <tableColumn id="132" xr3:uid="{0B5FF4A5-7015-4491-AB6D-CFB3BF951DD3}" name="Horse" dataDxfId="67"/>
    <tableColumn id="2" xr3:uid="{CE9A464B-169D-4E79-A829-95AFF9BF560A}" name="Fin" dataDxfId="66"/>
    <tableColumn id="1" xr3:uid="{172CC8D2-8834-4910-AACB-C17E6388E47D}" name="Div" dataDxfId="65"/>
    <tableColumn id="3" xr3:uid="{D26E37BB-1620-40E1-8F2A-0AC3A7C357E6}" name="Algorithm" dataDxfId="64"/>
    <tableColumn id="6" xr3:uid="{C18240F6-ED0B-4B5C-89F2-65F613479EFA}" name="State" dataDxfId="63">
      <calculatedColumnFormula>VLOOKUP(Table13232[[#This Row],[Track]],$C$1721:$E$1764,2,FALSE)</calculatedColumnFormula>
    </tableColumn>
    <tableColumn id="139" xr3:uid="{9D4861D0-D30C-4882-8A31-2C68A02A0BC7}" name="Lev Bet" dataDxfId="62"/>
    <tableColumn id="140" xr3:uid="{218E2823-FE94-4051-AE3D-0AD2A7F90CC7}" name="Lev Ret" dataDxfId="61">
      <calculatedColumnFormula>IF(Table13232[[#This Row],[Fin]]&lt;&gt;"1st","",Table13232[[#This Row],[Div]]*Table13232[[#This Row],[Lev Bet]])</calculatedColumnFormula>
    </tableColumn>
    <tableColumn id="141" xr3:uid="{8B2079FD-A4B2-4B79-B70F-6569CC3E7EB3}" name="Lev Profit" dataDxfId="60">
      <calculatedColumnFormula>IF(Table13232[[#This Row],[Lev Ret]]="",Table13232[[#This Row],[Lev Bet]]*-1,L7-K7)</calculatedColumnFormula>
    </tableColumn>
    <tableColumn id="113" xr3:uid="{29618EC8-D92F-4B66-8A16-CA41A56BCB0B}" name="Nat and Combo Bet" dataDxfId="59"/>
    <tableColumn id="114" xr3:uid="{C56F899E-9F29-4102-830C-DD6F4903EA02}" name="Nat and Combo Return" dataDxfId="58">
      <calculatedColumnFormula>IF(Table13232[[#This Row],[Fin]]&lt;&gt;"1st","",Table13232[[#This Row],[Div]]*Table13232[[#This Row],[Nat and Combo Bet]])</calculatedColumnFormula>
    </tableColumn>
    <tableColumn id="115" xr3:uid="{07B04E66-4E4D-480F-969E-E0325F2291D2}" name="Nat and Combo Profit" dataDxfId="57">
      <calculatedColumnFormula>IF(Table13232[[#This Row],[Lev Ret]]="",Table13232[[#This Row],[Nat and Combo Bet]]*-1,O7-N7)</calculatedColumnFormula>
    </tableColumn>
    <tableColumn id="7" xr3:uid="{03874CB4-88B9-4E21-BDDB-0D6EAD6536D6}" name="Dual Listing" dataDxfId="56">
      <calculatedColumnFormula>IF(AND(A8=A7,F8=F7),2,1)</calculatedColumnFormula>
    </tableColumn>
    <tableColumn id="8" xr3:uid="{ACF19C9C-5B7A-466E-8D5D-45398233DA1B}" name="Average Dual Listing Bet" dataDxfId="55">
      <calculatedColumnFormula>IF(AND(Q6=2,Q7=1),"",IF(Q7=2,(N7+N8)/2,IF(Table13232[[#This Row],[Dual Listing]]=1,Table13232[[#This Row],[Nat and Combo Bet]],11)))</calculatedColumnFormula>
    </tableColumn>
    <tableColumn id="10" xr3:uid="{51FBB17F-33A3-4E6D-82FD-30410C7BDA0C}" name="Average Dual Listing RET" dataDxfId="54">
      <calculatedColumnFormula>IF(R7="","",IF(O7="","",R7*H7))</calculatedColumnFormula>
    </tableColumn>
    <tableColumn id="9" xr3:uid="{F8315A56-A7CC-4AD0-B2EB-AD05BCB5661A}" name="Average Dual Listing PROFIT" dataDxfId="53">
      <calculatedColumnFormula>IF(R7="","",IF(S7="",R7*-1,S7-R7))</calculatedColumnFormula>
    </tableColumn>
    <tableColumn id="11" xr3:uid="{B90B08CA-4E6B-4560-8FC9-FDD1C7BA9E93}" name="Live Current Algo" dataDxfId="52">
      <calculatedColumnFormula>IF(Table13232[[#This Row],[Date]]&lt;$U$4,"","Live")</calculatedColumnFormula>
    </tableColumn>
    <tableColumn id="4" xr3:uid="{BD175842-36E9-4783-822E-21D58CC0993C}" name="Day" dataDxfId="51">
      <calculatedColumnFormula>TEXT(Table13232[[#This Row],[Date]],"DDD")</calculatedColumnFormula>
    </tableColumn>
    <tableColumn id="5" xr3:uid="{FB056EF7-8146-4074-BA43-E79FE6B14869}" name="Trim Proper" dataDxfId="50">
      <calculatedColumnFormula>PROPER(TRIM(Table13232[[#This Row],[Horse]]))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BEEA9-FA5D-4408-A1E7-F2D902BC6BE6}">
  <sheetPr>
    <tabColor rgb="FF00B050"/>
    <pageSetUpPr fitToPage="1"/>
  </sheetPr>
  <dimension ref="A1:Y882"/>
  <sheetViews>
    <sheetView showGridLines="0" zoomScale="90" zoomScaleNormal="90" workbookViewId="0">
      <pane xSplit="22245" ySplit="4305" topLeftCell="A805" activePane="bottomLeft"/>
      <selection activeCell="F7" sqref="F7:F804"/>
      <selection pane="topRight" sqref="A1:DK1048576"/>
      <selection pane="bottomLeft" activeCell="G809" sqref="G809"/>
      <selection pane="bottomRight" activeCell="Y845" sqref="Y845"/>
    </sheetView>
  </sheetViews>
  <sheetFormatPr defaultRowHeight="15" x14ac:dyDescent="0.25"/>
  <cols>
    <col min="1" max="1" width="11.140625" style="3" customWidth="1"/>
    <col min="2" max="2" width="9.140625" style="3" customWidth="1"/>
    <col min="3" max="3" width="11.42578125" style="3" customWidth="1"/>
    <col min="4" max="4" width="5" style="3" customWidth="1"/>
    <col min="5" max="5" width="5" style="6" customWidth="1"/>
    <col min="6" max="6" width="16.5703125" style="3" customWidth="1"/>
    <col min="7" max="7" width="5.5703125" style="3" customWidth="1"/>
    <col min="8" max="8" width="6.140625" style="3" customWidth="1"/>
    <col min="9" max="9" width="13.7109375" style="3" customWidth="1"/>
    <col min="10" max="10" width="5.5703125" style="3" customWidth="1"/>
    <col min="11" max="11" width="8.7109375" customWidth="1"/>
    <col min="12" max="12" width="8.28515625" customWidth="1"/>
    <col min="13" max="13" width="8.85546875" customWidth="1"/>
    <col min="14" max="14" width="9.42578125" customWidth="1"/>
    <col min="15" max="15" width="9.7109375" customWidth="1"/>
    <col min="16" max="16" width="12" customWidth="1"/>
    <col min="17" max="17" width="8.85546875" customWidth="1"/>
    <col min="18" max="18" width="9.85546875" customWidth="1"/>
    <col min="19" max="19" width="10" customWidth="1"/>
    <col min="20" max="20" width="9.28515625" customWidth="1"/>
    <col min="21" max="21" width="11.85546875" customWidth="1"/>
    <col min="22" max="22" width="6.140625" customWidth="1"/>
    <col min="23" max="23" width="16.28515625" style="3" customWidth="1"/>
    <col min="24" max="16384" width="9.140625" style="3"/>
  </cols>
  <sheetData>
    <row r="1" spans="1:23" ht="15.75" customHeight="1" x14ac:dyDescent="0.25">
      <c r="A1" s="1"/>
      <c r="B1" s="1"/>
      <c r="C1" s="1"/>
      <c r="D1" s="2"/>
      <c r="E1" s="1"/>
      <c r="F1" s="1"/>
      <c r="G1" s="1"/>
      <c r="H1" s="1"/>
      <c r="I1" s="1"/>
      <c r="J1" s="1"/>
      <c r="K1" s="3"/>
      <c r="L1" s="3"/>
      <c r="M1" s="3"/>
      <c r="Q1" s="165" t="s">
        <v>596</v>
      </c>
    </row>
    <row r="2" spans="1:23" ht="7.5" customHeight="1" x14ac:dyDescent="0.25">
      <c r="A2" s="1"/>
      <c r="B2" s="1"/>
      <c r="C2" s="1"/>
      <c r="D2" s="161" t="s">
        <v>307</v>
      </c>
      <c r="E2" s="161"/>
      <c r="F2" s="161"/>
      <c r="G2" s="161"/>
      <c r="H2" s="161"/>
      <c r="I2" s="161"/>
      <c r="J2" s="162"/>
      <c r="K2" s="3"/>
      <c r="L2" s="3"/>
      <c r="M2" s="3"/>
      <c r="Q2" s="166"/>
    </row>
    <row r="3" spans="1:23" ht="15.75" customHeight="1" x14ac:dyDescent="0.25">
      <c r="A3" s="1"/>
      <c r="B3" s="1"/>
      <c r="C3" s="1"/>
      <c r="D3" s="161"/>
      <c r="E3" s="161"/>
      <c r="F3" s="161"/>
      <c r="G3" s="161"/>
      <c r="H3" s="161"/>
      <c r="I3" s="161"/>
      <c r="J3" s="162"/>
      <c r="K3" s="3"/>
      <c r="L3" s="3"/>
      <c r="M3" s="3"/>
      <c r="N3" s="163"/>
      <c r="O3" s="163"/>
      <c r="P3" s="163"/>
      <c r="Q3" s="166"/>
      <c r="R3" s="164" t="s">
        <v>525</v>
      </c>
      <c r="S3" s="164"/>
      <c r="T3" s="164"/>
      <c r="V3" s="3"/>
    </row>
    <row r="4" spans="1:23" ht="19.5" customHeight="1" x14ac:dyDescent="0.25">
      <c r="A4" s="1"/>
      <c r="B4" s="1"/>
      <c r="C4" s="1"/>
      <c r="D4" s="22"/>
      <c r="E4" s="1"/>
      <c r="F4" s="1"/>
      <c r="G4" s="1"/>
      <c r="H4" s="1"/>
      <c r="I4" s="1"/>
      <c r="J4" s="162"/>
      <c r="K4" s="3"/>
      <c r="L4" s="3"/>
      <c r="M4" s="3"/>
      <c r="N4" s="163"/>
      <c r="O4" s="163"/>
      <c r="P4" s="163"/>
      <c r="Q4" s="167"/>
      <c r="R4" s="164"/>
      <c r="S4" s="164"/>
      <c r="T4" s="164"/>
      <c r="U4" s="151">
        <v>45926</v>
      </c>
      <c r="V4" s="3"/>
    </row>
    <row r="5" spans="1:23" ht="14.25" customHeight="1" x14ac:dyDescent="0.25">
      <c r="E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3" s="4" customFormat="1" ht="62.25" customHeight="1" x14ac:dyDescent="0.25">
      <c r="A6" s="23" t="s">
        <v>0</v>
      </c>
      <c r="B6" s="24" t="s">
        <v>1</v>
      </c>
      <c r="C6" s="24" t="s">
        <v>2</v>
      </c>
      <c r="D6" s="24" t="s">
        <v>3</v>
      </c>
      <c r="E6" s="24" t="s">
        <v>4</v>
      </c>
      <c r="F6" s="24" t="s">
        <v>5</v>
      </c>
      <c r="G6" s="24" t="s">
        <v>19</v>
      </c>
      <c r="H6" s="24" t="s">
        <v>20</v>
      </c>
      <c r="I6" s="25" t="s">
        <v>57</v>
      </c>
      <c r="J6" s="24" t="s">
        <v>32</v>
      </c>
      <c r="K6" s="108" t="s">
        <v>6</v>
      </c>
      <c r="L6" s="108" t="s">
        <v>7</v>
      </c>
      <c r="M6" s="108" t="s">
        <v>8</v>
      </c>
      <c r="N6" s="119" t="s">
        <v>308</v>
      </c>
      <c r="O6" s="119" t="s">
        <v>309</v>
      </c>
      <c r="P6" s="119" t="s">
        <v>310</v>
      </c>
      <c r="Q6" s="24" t="s">
        <v>306</v>
      </c>
      <c r="R6" s="56" t="s">
        <v>509</v>
      </c>
      <c r="S6" s="56" t="s">
        <v>510</v>
      </c>
      <c r="T6" s="56" t="s">
        <v>511</v>
      </c>
      <c r="U6" s="24" t="s">
        <v>512</v>
      </c>
      <c r="V6" s="24" t="s">
        <v>29</v>
      </c>
      <c r="W6" s="24" t="s">
        <v>299</v>
      </c>
    </row>
    <row r="7" spans="1:23" x14ac:dyDescent="0.25">
      <c r="A7" s="43">
        <v>45661</v>
      </c>
      <c r="B7" s="44">
        <v>0.54861111111111116</v>
      </c>
      <c r="C7" s="44" t="s">
        <v>13</v>
      </c>
      <c r="D7" s="45">
        <v>2</v>
      </c>
      <c r="E7" s="45">
        <v>10</v>
      </c>
      <c r="F7" s="46" t="s">
        <v>348</v>
      </c>
      <c r="G7" s="46"/>
      <c r="H7" s="47"/>
      <c r="I7" s="52" t="s">
        <v>297</v>
      </c>
      <c r="J7" s="45" t="str">
        <f>VLOOKUP(Table13232[[#This Row],[Track]],$C$836:$E$882,2,FALSE)</f>
        <v>NSW</v>
      </c>
      <c r="K7" s="49">
        <v>100</v>
      </c>
      <c r="L7" s="45" t="str">
        <f>IF(Table13232[[#This Row],[Fin]]&lt;&gt;"1st","",Table13232[[#This Row],[Div]]*Table13232[[#This Row],[Lev Bet]])</f>
        <v/>
      </c>
      <c r="M7" s="45">
        <f>IF(Table13232[[#This Row],[Lev Ret]]="",Table13232[[#This Row],[Lev Bet]]*-1,L7-K7)</f>
        <v>-100</v>
      </c>
      <c r="N7" s="135">
        <v>100</v>
      </c>
      <c r="O7" s="135" t="str">
        <f>IF(Table13232[[#This Row],[Fin]]&lt;&gt;"1st","",Table13232[[#This Row],[Div]]*Table13232[[#This Row],[Nat and Combo Bet]])</f>
        <v/>
      </c>
      <c r="P7" s="135">
        <f>IF(Table13232[[#This Row],[Lev Ret]]="",Table13232[[#This Row],[Nat and Combo Bet]]*-1,O7-N7)</f>
        <v>-100</v>
      </c>
      <c r="Q7" s="50">
        <f t="shared" ref="Q7:Q70" si="0">IF(AND(A8=A7,F8=F7),2,1)</f>
        <v>1</v>
      </c>
      <c r="R7" s="50">
        <f>IF(AND(Q6=2,Q7=1),"",IF(Q7=2,(N7+N8)/2,IF(Table13232[[#This Row],[Dual Listing]]=1,Table13232[[#This Row],[Nat and Combo Bet]],11)))</f>
        <v>100</v>
      </c>
      <c r="S7" s="50" t="str">
        <f t="shared" ref="S7:S70" si="1">IF(R7="","",IF(O7="","",R7*H7))</f>
        <v/>
      </c>
      <c r="T7" s="50">
        <f t="shared" ref="T7:T70" si="2">IF(R7="","",IF(S7="",R7*-1,S7-R7))</f>
        <v>-100</v>
      </c>
      <c r="U7" s="50" t="str">
        <f>IF(Table13232[[#This Row],[Date]]&lt;$U$4,"","Live")</f>
        <v/>
      </c>
      <c r="V7" s="45" t="str">
        <f>TEXT(Table13232[[#This Row],[Date]],"DDD")</f>
        <v>Sat</v>
      </c>
      <c r="W7" s="51" t="str">
        <f>PROPER(TRIM(Table13232[[#This Row],[Horse]]))</f>
        <v>Zoukerino</v>
      </c>
    </row>
    <row r="8" spans="1:23" x14ac:dyDescent="0.25">
      <c r="A8" s="43">
        <v>45661</v>
      </c>
      <c r="B8" s="44">
        <v>0.60763888888888884</v>
      </c>
      <c r="C8" s="44" t="s">
        <v>84</v>
      </c>
      <c r="D8" s="45">
        <v>5</v>
      </c>
      <c r="E8" s="45">
        <v>1</v>
      </c>
      <c r="F8" s="46" t="s">
        <v>350</v>
      </c>
      <c r="G8" s="46"/>
      <c r="H8" s="47"/>
      <c r="I8" s="52" t="s">
        <v>297</v>
      </c>
      <c r="J8" s="45" t="str">
        <f>VLOOKUP(Table13232[[#This Row],[Track]],$C$836:$E$882,2,FALSE)</f>
        <v>Vic</v>
      </c>
      <c r="K8" s="49">
        <v>100</v>
      </c>
      <c r="L8" s="45" t="str">
        <f>IF(Table13232[[#This Row],[Fin]]&lt;&gt;"1st","",Table13232[[#This Row],[Div]]*Table13232[[#This Row],[Lev Bet]])</f>
        <v/>
      </c>
      <c r="M8" s="45">
        <f>IF(Table13232[[#This Row],[Lev Ret]]="",Table13232[[#This Row],[Lev Bet]]*-1,L8-K8)</f>
        <v>-100</v>
      </c>
      <c r="N8" s="135">
        <v>100</v>
      </c>
      <c r="O8" s="135" t="str">
        <f>IF(Table13232[[#This Row],[Fin]]&lt;&gt;"1st","",Table13232[[#This Row],[Div]]*Table13232[[#This Row],[Nat and Combo Bet]])</f>
        <v/>
      </c>
      <c r="P8" s="135">
        <f>IF(Table13232[[#This Row],[Lev Ret]]="",Table13232[[#This Row],[Nat and Combo Bet]]*-1,O8-N8)</f>
        <v>-100</v>
      </c>
      <c r="Q8" s="50">
        <f t="shared" si="0"/>
        <v>1</v>
      </c>
      <c r="R8" s="50">
        <f>IF(AND(Q7=2,Q8=1),"",IF(Q8=2,(N8+N9)/2,IF(Table13232[[#This Row],[Dual Listing]]=1,Table13232[[#This Row],[Nat and Combo Bet]],11)))</f>
        <v>100</v>
      </c>
      <c r="S8" s="50" t="str">
        <f t="shared" si="1"/>
        <v/>
      </c>
      <c r="T8" s="50">
        <f t="shared" si="2"/>
        <v>-100</v>
      </c>
      <c r="U8" s="50" t="str">
        <f>IF(Table13232[[#This Row],[Date]]&lt;$U$4,"","Live")</f>
        <v/>
      </c>
      <c r="V8" s="45" t="str">
        <f>TEXT(Table13232[[#This Row],[Date]],"DDD")</f>
        <v>Sat</v>
      </c>
      <c r="W8" s="45" t="str">
        <f>PROPER(TRIM(Table13232[[#This Row],[Horse]]))</f>
        <v>Bellinger</v>
      </c>
    </row>
    <row r="9" spans="1:23" x14ac:dyDescent="0.25">
      <c r="A9" s="43">
        <v>45661</v>
      </c>
      <c r="B9" s="44">
        <v>0.60763888888888884</v>
      </c>
      <c r="C9" s="44" t="s">
        <v>84</v>
      </c>
      <c r="D9" s="45">
        <v>5</v>
      </c>
      <c r="E9" s="45">
        <v>8</v>
      </c>
      <c r="F9" s="46" t="s">
        <v>349</v>
      </c>
      <c r="G9" s="46" t="s">
        <v>21</v>
      </c>
      <c r="H9" s="47">
        <v>3.2</v>
      </c>
      <c r="I9" s="52" t="s">
        <v>297</v>
      </c>
      <c r="J9" s="45" t="str">
        <f>VLOOKUP(Table13232[[#This Row],[Track]],$C$836:$E$882,2,FALSE)</f>
        <v>Vic</v>
      </c>
      <c r="K9" s="49">
        <v>100</v>
      </c>
      <c r="L9" s="45">
        <f>IF(Table13232[[#This Row],[Fin]]&lt;&gt;"1st","",Table13232[[#This Row],[Div]]*Table13232[[#This Row],[Lev Bet]])</f>
        <v>320</v>
      </c>
      <c r="M9" s="45">
        <f>IF(Table13232[[#This Row],[Lev Ret]]="",Table13232[[#This Row],[Lev Bet]]*-1,L9-K9)</f>
        <v>220</v>
      </c>
      <c r="N9" s="135">
        <v>100</v>
      </c>
      <c r="O9" s="135">
        <f>IF(Table13232[[#This Row],[Fin]]&lt;&gt;"1st","",Table13232[[#This Row],[Div]]*Table13232[[#This Row],[Nat and Combo Bet]])</f>
        <v>320</v>
      </c>
      <c r="P9" s="135">
        <f>IF(Table13232[[#This Row],[Lev Ret]]="",Table13232[[#This Row],[Nat and Combo Bet]]*-1,O9-N9)</f>
        <v>220</v>
      </c>
      <c r="Q9" s="50">
        <f t="shared" si="0"/>
        <v>1</v>
      </c>
      <c r="R9" s="50">
        <f>IF(AND(Q8=2,Q9=1),"",IF(Q9=2,(N9+N10)/2,IF(Table13232[[#This Row],[Dual Listing]]=1,Table13232[[#This Row],[Nat and Combo Bet]],11)))</f>
        <v>100</v>
      </c>
      <c r="S9" s="50">
        <f t="shared" si="1"/>
        <v>320</v>
      </c>
      <c r="T9" s="50">
        <f t="shared" si="2"/>
        <v>220</v>
      </c>
      <c r="U9" s="50" t="str">
        <f>IF(Table13232[[#This Row],[Date]]&lt;$U$4,"","Live")</f>
        <v/>
      </c>
      <c r="V9" s="45" t="str">
        <f>TEXT(Table13232[[#This Row],[Date]],"DDD")</f>
        <v>Sat</v>
      </c>
      <c r="W9" s="45" t="str">
        <f>PROPER(TRIM(Table13232[[#This Row],[Horse]]))</f>
        <v>Title Fighter</v>
      </c>
    </row>
    <row r="10" spans="1:23" x14ac:dyDescent="0.25">
      <c r="A10" s="43">
        <v>45661</v>
      </c>
      <c r="B10" s="44">
        <v>0.62152777777777779</v>
      </c>
      <c r="C10" s="44" t="s">
        <v>13</v>
      </c>
      <c r="D10" s="45">
        <v>5</v>
      </c>
      <c r="E10" s="45">
        <v>13</v>
      </c>
      <c r="F10" s="46" t="s">
        <v>93</v>
      </c>
      <c r="G10" s="46" t="s">
        <v>21</v>
      </c>
      <c r="H10" s="47">
        <v>3.7</v>
      </c>
      <c r="I10" s="52" t="s">
        <v>297</v>
      </c>
      <c r="J10" s="45" t="str">
        <f>VLOOKUP(Table13232[[#This Row],[Track]],$C$836:$E$882,2,FALSE)</f>
        <v>NSW</v>
      </c>
      <c r="K10" s="49">
        <v>100</v>
      </c>
      <c r="L10" s="45">
        <f>IF(Table13232[[#This Row],[Fin]]&lt;&gt;"1st","",Table13232[[#This Row],[Div]]*Table13232[[#This Row],[Lev Bet]])</f>
        <v>370</v>
      </c>
      <c r="M10" s="45">
        <f>IF(Table13232[[#This Row],[Lev Ret]]="",Table13232[[#This Row],[Lev Bet]]*-1,L10-K10)</f>
        <v>270</v>
      </c>
      <c r="N10" s="135">
        <v>200</v>
      </c>
      <c r="O10" s="135">
        <f>IF(Table13232[[#This Row],[Fin]]&lt;&gt;"1st","",Table13232[[#This Row],[Div]]*Table13232[[#This Row],[Nat and Combo Bet]])</f>
        <v>740</v>
      </c>
      <c r="P10" s="135">
        <f>IF(Table13232[[#This Row],[Lev Ret]]="",Table13232[[#This Row],[Nat and Combo Bet]]*-1,O10-N10)</f>
        <v>540</v>
      </c>
      <c r="Q10" s="50">
        <f t="shared" si="0"/>
        <v>1</v>
      </c>
      <c r="R10" s="50">
        <f>IF(AND(Q9=2,Q10=1),"",IF(Q10=2,(N10+N11)/2,IF(Table13232[[#This Row],[Dual Listing]]=1,Table13232[[#This Row],[Nat and Combo Bet]],11)))</f>
        <v>200</v>
      </c>
      <c r="S10" s="50">
        <f t="shared" si="1"/>
        <v>740</v>
      </c>
      <c r="T10" s="50">
        <f t="shared" si="2"/>
        <v>540</v>
      </c>
      <c r="U10" s="50" t="str">
        <f>IF(Table13232[[#This Row],[Date]]&lt;$U$4,"","Live")</f>
        <v/>
      </c>
      <c r="V10" s="45" t="str">
        <f>TEXT(Table13232[[#This Row],[Date]],"DDD")</f>
        <v>Sat</v>
      </c>
      <c r="W10" s="45" t="str">
        <f>PROPER(TRIM(Table13232[[#This Row],[Horse]]))</f>
        <v>Perfumist</v>
      </c>
    </row>
    <row r="11" spans="1:23" x14ac:dyDescent="0.25">
      <c r="A11" s="43">
        <v>45661</v>
      </c>
      <c r="B11" s="44">
        <v>0.63541666666666663</v>
      </c>
      <c r="C11" s="44" t="s">
        <v>84</v>
      </c>
      <c r="D11" s="45">
        <v>6</v>
      </c>
      <c r="E11" s="45">
        <v>2</v>
      </c>
      <c r="F11" s="46" t="s">
        <v>351</v>
      </c>
      <c r="G11" s="46"/>
      <c r="H11" s="47"/>
      <c r="I11" s="52" t="s">
        <v>297</v>
      </c>
      <c r="J11" s="45" t="str">
        <f>VLOOKUP(Table13232[[#This Row],[Track]],$C$836:$E$882,2,FALSE)</f>
        <v>Vic</v>
      </c>
      <c r="K11" s="49">
        <v>100</v>
      </c>
      <c r="L11" s="45" t="str">
        <f>IF(Table13232[[#This Row],[Fin]]&lt;&gt;"1st","",Table13232[[#This Row],[Div]]*Table13232[[#This Row],[Lev Bet]])</f>
        <v/>
      </c>
      <c r="M11" s="45">
        <f>IF(Table13232[[#This Row],[Lev Ret]]="",Table13232[[#This Row],[Lev Bet]]*-1,L11-K11)</f>
        <v>-100</v>
      </c>
      <c r="N11" s="135">
        <v>120</v>
      </c>
      <c r="O11" s="135" t="str">
        <f>IF(Table13232[[#This Row],[Fin]]&lt;&gt;"1st","",Table13232[[#This Row],[Div]]*Table13232[[#This Row],[Nat and Combo Bet]])</f>
        <v/>
      </c>
      <c r="P11" s="135">
        <f>IF(Table13232[[#This Row],[Lev Ret]]="",Table13232[[#This Row],[Nat and Combo Bet]]*-1,O11-N11)</f>
        <v>-120</v>
      </c>
      <c r="Q11" s="50">
        <f t="shared" si="0"/>
        <v>1</v>
      </c>
      <c r="R11" s="50">
        <f>IF(AND(Q10=2,Q11=1),"",IF(Q11=2,(N11+N12)/2,IF(Table13232[[#This Row],[Dual Listing]]=1,Table13232[[#This Row],[Nat and Combo Bet]],11)))</f>
        <v>120</v>
      </c>
      <c r="S11" s="50" t="str">
        <f t="shared" si="1"/>
        <v/>
      </c>
      <c r="T11" s="50">
        <f t="shared" si="2"/>
        <v>-120</v>
      </c>
      <c r="U11" s="50" t="str">
        <f>IF(Table13232[[#This Row],[Date]]&lt;$U$4,"","Live")</f>
        <v/>
      </c>
      <c r="V11" s="45" t="str">
        <f>TEXT(Table13232[[#This Row],[Date]],"DDD")</f>
        <v>Sat</v>
      </c>
      <c r="W11" s="45" t="str">
        <f>PROPER(TRIM(Table13232[[#This Row],[Horse]]))</f>
        <v>Robrick</v>
      </c>
    </row>
    <row r="12" spans="1:23" x14ac:dyDescent="0.25">
      <c r="A12" s="43">
        <v>45661</v>
      </c>
      <c r="B12" s="44">
        <v>0.67708333333333337</v>
      </c>
      <c r="C12" s="44" t="s">
        <v>13</v>
      </c>
      <c r="D12" s="45">
        <v>7</v>
      </c>
      <c r="E12" s="45">
        <v>7</v>
      </c>
      <c r="F12" s="46" t="s">
        <v>352</v>
      </c>
      <c r="G12" s="46" t="s">
        <v>21</v>
      </c>
      <c r="H12" s="47">
        <v>2.2000000000000002</v>
      </c>
      <c r="I12" s="52" t="s">
        <v>297</v>
      </c>
      <c r="J12" s="45" t="str">
        <f>VLOOKUP(Table13232[[#This Row],[Track]],$C$836:$E$882,2,FALSE)</f>
        <v>NSW</v>
      </c>
      <c r="K12" s="49">
        <v>100</v>
      </c>
      <c r="L12" s="45">
        <f>IF(Table13232[[#This Row],[Fin]]&lt;&gt;"1st","",Table13232[[#This Row],[Div]]*Table13232[[#This Row],[Lev Bet]])</f>
        <v>220.00000000000003</v>
      </c>
      <c r="M12" s="45">
        <f>IF(Table13232[[#This Row],[Lev Ret]]="",Table13232[[#This Row],[Lev Bet]]*-1,L12-K12)</f>
        <v>120.00000000000003</v>
      </c>
      <c r="N12" s="135">
        <v>200</v>
      </c>
      <c r="O12" s="135">
        <f>IF(Table13232[[#This Row],[Fin]]&lt;&gt;"1st","",Table13232[[#This Row],[Div]]*Table13232[[#This Row],[Nat and Combo Bet]])</f>
        <v>440.00000000000006</v>
      </c>
      <c r="P12" s="135">
        <f>IF(Table13232[[#This Row],[Lev Ret]]="",Table13232[[#This Row],[Nat and Combo Bet]]*-1,O12-N12)</f>
        <v>240.00000000000006</v>
      </c>
      <c r="Q12" s="50">
        <f t="shared" si="0"/>
        <v>1</v>
      </c>
      <c r="R12" s="50">
        <f>IF(AND(Q11=2,Q12=1),"",IF(Q12=2,(N12+N13)/2,IF(Table13232[[#This Row],[Dual Listing]]=1,Table13232[[#This Row],[Nat and Combo Bet]],11)))</f>
        <v>200</v>
      </c>
      <c r="S12" s="50">
        <f t="shared" si="1"/>
        <v>440.00000000000006</v>
      </c>
      <c r="T12" s="50">
        <f t="shared" si="2"/>
        <v>240.00000000000006</v>
      </c>
      <c r="U12" s="50" t="str">
        <f>IF(Table13232[[#This Row],[Date]]&lt;$U$4,"","Live")</f>
        <v/>
      </c>
      <c r="V12" s="45" t="str">
        <f>TEXT(Table13232[[#This Row],[Date]],"DDD")</f>
        <v>Sat</v>
      </c>
      <c r="W12" s="45" t="str">
        <f>PROPER(TRIM(Table13232[[#This Row],[Horse]]))</f>
        <v>Disneck</v>
      </c>
    </row>
    <row r="13" spans="1:23" x14ac:dyDescent="0.25">
      <c r="A13" s="43">
        <v>45661</v>
      </c>
      <c r="B13" s="44">
        <v>0.70486111111111116</v>
      </c>
      <c r="C13" s="44" t="s">
        <v>13</v>
      </c>
      <c r="D13" s="45">
        <v>8</v>
      </c>
      <c r="E13" s="45">
        <v>2</v>
      </c>
      <c r="F13" s="46" t="s">
        <v>203</v>
      </c>
      <c r="G13" s="46" t="s">
        <v>21</v>
      </c>
      <c r="H13" s="47">
        <v>8.9</v>
      </c>
      <c r="I13" s="52" t="s">
        <v>297</v>
      </c>
      <c r="J13" s="45" t="str">
        <f>VLOOKUP(Table13232[[#This Row],[Track]],$C$836:$E$882,2,FALSE)</f>
        <v>NSW</v>
      </c>
      <c r="K13" s="49">
        <v>100</v>
      </c>
      <c r="L13" s="45">
        <f>IF(Table13232[[#This Row],[Fin]]&lt;&gt;"1st","",Table13232[[#This Row],[Div]]*Table13232[[#This Row],[Lev Bet]])</f>
        <v>890</v>
      </c>
      <c r="M13" s="45">
        <f>IF(Table13232[[#This Row],[Lev Ret]]="",Table13232[[#This Row],[Lev Bet]]*-1,L13-K13)</f>
        <v>790</v>
      </c>
      <c r="N13" s="135">
        <v>100</v>
      </c>
      <c r="O13" s="135">
        <f>IF(Table13232[[#This Row],[Fin]]&lt;&gt;"1st","",Table13232[[#This Row],[Div]]*Table13232[[#This Row],[Nat and Combo Bet]])</f>
        <v>890</v>
      </c>
      <c r="P13" s="135">
        <f>IF(Table13232[[#This Row],[Lev Ret]]="",Table13232[[#This Row],[Nat and Combo Bet]]*-1,O13-N13)</f>
        <v>790</v>
      </c>
      <c r="Q13" s="50">
        <f t="shared" si="0"/>
        <v>1</v>
      </c>
      <c r="R13" s="50">
        <f>IF(AND(Q12=2,Q13=1),"",IF(Q13=2,(N13+N14)/2,IF(Table13232[[#This Row],[Dual Listing]]=1,Table13232[[#This Row],[Nat and Combo Bet]],11)))</f>
        <v>100</v>
      </c>
      <c r="S13" s="50">
        <f t="shared" si="1"/>
        <v>890</v>
      </c>
      <c r="T13" s="50">
        <f t="shared" si="2"/>
        <v>790</v>
      </c>
      <c r="U13" s="50" t="str">
        <f>IF(Table13232[[#This Row],[Date]]&lt;$U$4,"","Live")</f>
        <v/>
      </c>
      <c r="V13" s="45" t="str">
        <f>TEXT(Table13232[[#This Row],[Date]],"DDD")</f>
        <v>Sat</v>
      </c>
      <c r="W13" s="45" t="str">
        <f>PROPER(TRIM(Table13232[[#This Row],[Horse]]))</f>
        <v>Unlimited</v>
      </c>
    </row>
    <row r="14" spans="1:23" x14ac:dyDescent="0.25">
      <c r="A14" s="43">
        <v>45661</v>
      </c>
      <c r="B14" s="44">
        <v>0.71875</v>
      </c>
      <c r="C14" s="44" t="s">
        <v>84</v>
      </c>
      <c r="D14" s="45">
        <v>9</v>
      </c>
      <c r="E14" s="45">
        <v>11</v>
      </c>
      <c r="F14" s="46" t="s">
        <v>477</v>
      </c>
      <c r="G14" s="46" t="s">
        <v>21</v>
      </c>
      <c r="H14" s="47">
        <v>16</v>
      </c>
      <c r="I14" s="47" t="s">
        <v>298</v>
      </c>
      <c r="J14" s="45" t="str">
        <f>VLOOKUP(Table13232[[#This Row],[Track]],$C$836:$E$882,2,FALSE)</f>
        <v>Vic</v>
      </c>
      <c r="K14" s="49">
        <v>100</v>
      </c>
      <c r="L14" s="45">
        <f>IF(Table13232[[#This Row],[Fin]]&lt;&gt;"1st","",Table13232[[#This Row],[Div]]*Table13232[[#This Row],[Lev Bet]])</f>
        <v>1600</v>
      </c>
      <c r="M14" s="45">
        <f>IF(Table13232[[#This Row],[Lev Ret]]="",Table13232[[#This Row],[Lev Bet]]*-1,L14-K14)</f>
        <v>1500</v>
      </c>
      <c r="N14" s="135">
        <v>200</v>
      </c>
      <c r="O14" s="135">
        <f>IF(Table13232[[#This Row],[Fin]]&lt;&gt;"1st","",Table13232[[#This Row],[Div]]*Table13232[[#This Row],[Nat and Combo Bet]])</f>
        <v>3200</v>
      </c>
      <c r="P14" s="135">
        <f>IF(Table13232[[#This Row],[Lev Ret]]="",Table13232[[#This Row],[Nat and Combo Bet]]*-1,O14-N14)</f>
        <v>3000</v>
      </c>
      <c r="Q14" s="50">
        <f t="shared" si="0"/>
        <v>1</v>
      </c>
      <c r="R14" s="50">
        <f>IF(AND(Q13=2,Q14=1),"",IF(Q14=2,(N14+N15)/2,IF(Table13232[[#This Row],[Dual Listing]]=1,Table13232[[#This Row],[Nat and Combo Bet]],11)))</f>
        <v>200</v>
      </c>
      <c r="S14" s="50">
        <f t="shared" si="1"/>
        <v>3200</v>
      </c>
      <c r="T14" s="50">
        <f t="shared" si="2"/>
        <v>3000</v>
      </c>
      <c r="U14" s="50" t="str">
        <f>IF(Table13232[[#This Row],[Date]]&lt;$U$4,"","Live")</f>
        <v/>
      </c>
      <c r="V14" s="45" t="str">
        <f>TEXT(Table13232[[#This Row],[Date]],"DDD")</f>
        <v>Sat</v>
      </c>
      <c r="W14" s="45" t="str">
        <f>PROPER(TRIM(Table13232[[#This Row],[Horse]]))</f>
        <v>Romantic Choice</v>
      </c>
    </row>
    <row r="15" spans="1:23" x14ac:dyDescent="0.25">
      <c r="A15" s="43">
        <v>45661</v>
      </c>
      <c r="B15" s="44">
        <v>0.73263888888888884</v>
      </c>
      <c r="C15" s="44" t="s">
        <v>13</v>
      </c>
      <c r="D15" s="45">
        <v>9</v>
      </c>
      <c r="E15" s="45">
        <v>4</v>
      </c>
      <c r="F15" s="46" t="s">
        <v>62</v>
      </c>
      <c r="G15" s="46" t="s">
        <v>22</v>
      </c>
      <c r="H15" s="47"/>
      <c r="I15" s="52" t="s">
        <v>297</v>
      </c>
      <c r="J15" s="45" t="str">
        <f>VLOOKUP(Table13232[[#This Row],[Track]],$C$836:$E$882,2,FALSE)</f>
        <v>NSW</v>
      </c>
      <c r="K15" s="49">
        <v>100</v>
      </c>
      <c r="L15" s="45" t="str">
        <f>IF(Table13232[[#This Row],[Fin]]&lt;&gt;"1st","",Table13232[[#This Row],[Div]]*Table13232[[#This Row],[Lev Bet]])</f>
        <v/>
      </c>
      <c r="M15" s="45">
        <f>IF(Table13232[[#This Row],[Lev Ret]]="",Table13232[[#This Row],[Lev Bet]]*-1,L15-K15)</f>
        <v>-100</v>
      </c>
      <c r="N15" s="135">
        <v>150</v>
      </c>
      <c r="O15" s="135" t="str">
        <f>IF(Table13232[[#This Row],[Fin]]&lt;&gt;"1st","",Table13232[[#This Row],[Div]]*Table13232[[#This Row],[Nat and Combo Bet]])</f>
        <v/>
      </c>
      <c r="P15" s="135">
        <f>IF(Table13232[[#This Row],[Lev Ret]]="",Table13232[[#This Row],[Nat and Combo Bet]]*-1,O15-N15)</f>
        <v>-150</v>
      </c>
      <c r="Q15" s="50">
        <f t="shared" si="0"/>
        <v>1</v>
      </c>
      <c r="R15" s="50">
        <f>IF(AND(Q14=2,Q15=1),"",IF(Q15=2,(N15+N16)/2,IF(Table13232[[#This Row],[Dual Listing]]=1,Table13232[[#This Row],[Nat and Combo Bet]],11)))</f>
        <v>150</v>
      </c>
      <c r="S15" s="50" t="str">
        <f t="shared" si="1"/>
        <v/>
      </c>
      <c r="T15" s="50">
        <f t="shared" si="2"/>
        <v>-150</v>
      </c>
      <c r="U15" s="50" t="str">
        <f>IF(Table13232[[#This Row],[Date]]&lt;$U$4,"","Live")</f>
        <v/>
      </c>
      <c r="V15" s="45" t="str">
        <f>TEXT(Table13232[[#This Row],[Date]],"DDD")</f>
        <v>Sat</v>
      </c>
      <c r="W15" s="45" t="str">
        <f>PROPER(TRIM(Table13232[[#This Row],[Horse]]))</f>
        <v>Boston Rocks</v>
      </c>
    </row>
    <row r="16" spans="1:23" x14ac:dyDescent="0.25">
      <c r="A16" s="43">
        <v>45661</v>
      </c>
      <c r="B16" s="44">
        <v>0.74652777777777779</v>
      </c>
      <c r="C16" s="44" t="s">
        <v>84</v>
      </c>
      <c r="D16" s="45">
        <v>10</v>
      </c>
      <c r="E16" s="45">
        <v>3</v>
      </c>
      <c r="F16" s="46" t="s">
        <v>353</v>
      </c>
      <c r="G16" s="46"/>
      <c r="H16" s="47"/>
      <c r="I16" s="52" t="s">
        <v>297</v>
      </c>
      <c r="J16" s="45" t="str">
        <f>VLOOKUP(Table13232[[#This Row],[Track]],$C$836:$E$882,2,FALSE)</f>
        <v>Vic</v>
      </c>
      <c r="K16" s="49">
        <v>100</v>
      </c>
      <c r="L16" s="45" t="str">
        <f>IF(Table13232[[#This Row],[Fin]]&lt;&gt;"1st","",Table13232[[#This Row],[Div]]*Table13232[[#This Row],[Lev Bet]])</f>
        <v/>
      </c>
      <c r="M16" s="45">
        <f>IF(Table13232[[#This Row],[Lev Ret]]="",Table13232[[#This Row],[Lev Bet]]*-1,L16-K16)</f>
        <v>-100</v>
      </c>
      <c r="N16" s="135">
        <v>50</v>
      </c>
      <c r="O16" s="135" t="str">
        <f>IF(Table13232[[#This Row],[Fin]]&lt;&gt;"1st","",Table13232[[#This Row],[Div]]*Table13232[[#This Row],[Nat and Combo Bet]])</f>
        <v/>
      </c>
      <c r="P16" s="135">
        <f>IF(Table13232[[#This Row],[Lev Ret]]="",Table13232[[#This Row],[Nat and Combo Bet]]*-1,O16-N16)</f>
        <v>-50</v>
      </c>
      <c r="Q16" s="50">
        <f t="shared" si="0"/>
        <v>1</v>
      </c>
      <c r="R16" s="50">
        <f>IF(AND(Q15=2,Q16=1),"",IF(Q16=2,(N16+N17)/2,IF(Table13232[[#This Row],[Dual Listing]]=1,Table13232[[#This Row],[Nat and Combo Bet]],11)))</f>
        <v>50</v>
      </c>
      <c r="S16" s="50" t="str">
        <f t="shared" si="1"/>
        <v/>
      </c>
      <c r="T16" s="50">
        <f t="shared" si="2"/>
        <v>-50</v>
      </c>
      <c r="U16" s="50" t="str">
        <f>IF(Table13232[[#This Row],[Date]]&lt;$U$4,"","Live")</f>
        <v/>
      </c>
      <c r="V16" s="45" t="str">
        <f>TEXT(Table13232[[#This Row],[Date]],"DDD")</f>
        <v>Sat</v>
      </c>
      <c r="W16" s="45" t="str">
        <f>PROPER(TRIM(Table13232[[#This Row],[Horse]]))</f>
        <v>Miss Altair</v>
      </c>
    </row>
    <row r="17" spans="1:23" x14ac:dyDescent="0.25">
      <c r="A17" s="43">
        <v>45661</v>
      </c>
      <c r="B17" s="44">
        <v>0.75694444444444442</v>
      </c>
      <c r="C17" s="44" t="s">
        <v>13</v>
      </c>
      <c r="D17" s="45">
        <v>10</v>
      </c>
      <c r="E17" s="45">
        <v>6</v>
      </c>
      <c r="F17" s="46" t="s">
        <v>66</v>
      </c>
      <c r="G17" s="46"/>
      <c r="H17" s="47"/>
      <c r="I17" s="52" t="s">
        <v>297</v>
      </c>
      <c r="J17" s="45" t="str">
        <f>VLOOKUP(Table13232[[#This Row],[Track]],$C$836:$E$882,2,FALSE)</f>
        <v>NSW</v>
      </c>
      <c r="K17" s="49">
        <v>100</v>
      </c>
      <c r="L17" s="45" t="str">
        <f>IF(Table13232[[#This Row],[Fin]]&lt;&gt;"1st","",Table13232[[#This Row],[Div]]*Table13232[[#This Row],[Lev Bet]])</f>
        <v/>
      </c>
      <c r="M17" s="45">
        <f>IF(Table13232[[#This Row],[Lev Ret]]="",Table13232[[#This Row],[Lev Bet]]*-1,L17-K17)</f>
        <v>-100</v>
      </c>
      <c r="N17" s="135">
        <v>100</v>
      </c>
      <c r="O17" s="135" t="str">
        <f>IF(Table13232[[#This Row],[Fin]]&lt;&gt;"1st","",Table13232[[#This Row],[Div]]*Table13232[[#This Row],[Nat and Combo Bet]])</f>
        <v/>
      </c>
      <c r="P17" s="135">
        <f>IF(Table13232[[#This Row],[Lev Ret]]="",Table13232[[#This Row],[Nat and Combo Bet]]*-1,O17-N17)</f>
        <v>-100</v>
      </c>
      <c r="Q17" s="50">
        <f t="shared" si="0"/>
        <v>1</v>
      </c>
      <c r="R17" s="50">
        <f>IF(AND(Q16=2,Q17=1),"",IF(Q17=2,(N17+N18)/2,IF(Table13232[[#This Row],[Dual Listing]]=1,Table13232[[#This Row],[Nat and Combo Bet]],11)))</f>
        <v>100</v>
      </c>
      <c r="S17" s="50" t="str">
        <f t="shared" si="1"/>
        <v/>
      </c>
      <c r="T17" s="50">
        <f t="shared" si="2"/>
        <v>-100</v>
      </c>
      <c r="U17" s="50" t="str">
        <f>IF(Table13232[[#This Row],[Date]]&lt;$U$4,"","Live")</f>
        <v/>
      </c>
      <c r="V17" s="45" t="str">
        <f>TEXT(Table13232[[#This Row],[Date]],"DDD")</f>
        <v>Sat</v>
      </c>
      <c r="W17" s="45" t="str">
        <f>PROPER(TRIM(Table13232[[#This Row],[Horse]]))</f>
        <v>Monarchs Brae</v>
      </c>
    </row>
    <row r="18" spans="1:23" x14ac:dyDescent="0.25">
      <c r="A18" s="109">
        <v>45668</v>
      </c>
      <c r="B18" s="53">
        <v>0.51388888888888884</v>
      </c>
      <c r="C18" s="110" t="s">
        <v>10</v>
      </c>
      <c r="D18" s="111">
        <v>1</v>
      </c>
      <c r="E18" s="111">
        <v>3</v>
      </c>
      <c r="F18" s="112" t="s">
        <v>195</v>
      </c>
      <c r="G18" s="112" t="s">
        <v>22</v>
      </c>
      <c r="H18" s="113"/>
      <c r="I18" s="114" t="s">
        <v>297</v>
      </c>
      <c r="J18" s="45" t="str">
        <f>VLOOKUP(Table13232[[#This Row],[Track]],$C$836:$E$882,2,FALSE)</f>
        <v>Vic</v>
      </c>
      <c r="K18" s="55">
        <v>100</v>
      </c>
      <c r="L18" s="54" t="str">
        <f>IF(Table13232[[#This Row],[Fin]]&lt;&gt;"1st","",Table13232[[#This Row],[Div]]*Table13232[[#This Row],[Lev Bet]])</f>
        <v/>
      </c>
      <c r="M18" s="54">
        <f>IF(Table13232[[#This Row],[Lev Ret]]="",Table13232[[#This Row],[Lev Bet]]*-1,L18-K18)</f>
        <v>-100</v>
      </c>
      <c r="N18" s="135">
        <v>50</v>
      </c>
      <c r="O18" s="135" t="str">
        <f>IF(Table13232[[#This Row],[Fin]]&lt;&gt;"1st","",Table13232[[#This Row],[Div]]*Table13232[[#This Row],[Nat and Combo Bet]])</f>
        <v/>
      </c>
      <c r="P18" s="135">
        <f>IF(Table13232[[#This Row],[Lev Ret]]="",Table13232[[#This Row],[Nat and Combo Bet]]*-1,O18-N18)</f>
        <v>-50</v>
      </c>
      <c r="Q18" s="50">
        <f t="shared" si="0"/>
        <v>2</v>
      </c>
      <c r="R18" s="50">
        <f>IF(AND(Q17=2,Q18=1),"",IF(Q18=2,(N18+N19)/2,IF(Table13232[[#This Row],[Dual Listing]]=1,Table13232[[#This Row],[Nat and Combo Bet]],11)))</f>
        <v>75</v>
      </c>
      <c r="S18" s="50" t="str">
        <f t="shared" si="1"/>
        <v/>
      </c>
      <c r="T18" s="50">
        <f t="shared" si="2"/>
        <v>-75</v>
      </c>
      <c r="U18" s="50" t="str">
        <f>IF(Table13232[[#This Row],[Date]]&lt;$U$4,"","Live")</f>
        <v/>
      </c>
      <c r="V18" s="45" t="str">
        <f>TEXT(Table13232[[#This Row],[Date]],"DDD")</f>
        <v>Sat</v>
      </c>
      <c r="W18" s="45" t="str">
        <f>PROPER(TRIM(Table13232[[#This Row],[Horse]]))</f>
        <v>Xarpo</v>
      </c>
    </row>
    <row r="19" spans="1:23" x14ac:dyDescent="0.25">
      <c r="A19" s="109">
        <v>45668</v>
      </c>
      <c r="B19" s="53">
        <v>0.51388888888888884</v>
      </c>
      <c r="C19" s="110" t="s">
        <v>10</v>
      </c>
      <c r="D19" s="111">
        <v>1</v>
      </c>
      <c r="E19" s="111">
        <v>3</v>
      </c>
      <c r="F19" s="112" t="s">
        <v>195</v>
      </c>
      <c r="G19" s="112" t="s">
        <v>22</v>
      </c>
      <c r="H19" s="113"/>
      <c r="I19" s="113" t="s">
        <v>298</v>
      </c>
      <c r="J19" s="45" t="str">
        <f>VLOOKUP(Table13232[[#This Row],[Track]],$C$836:$E$882,2,FALSE)</f>
        <v>Vic</v>
      </c>
      <c r="K19" s="55">
        <v>100</v>
      </c>
      <c r="L19" s="54" t="str">
        <f>IF(Table13232[[#This Row],[Fin]]&lt;&gt;"1st","",Table13232[[#This Row],[Div]]*Table13232[[#This Row],[Lev Bet]])</f>
        <v/>
      </c>
      <c r="M19" s="54">
        <f>IF(Table13232[[#This Row],[Lev Ret]]="",Table13232[[#This Row],[Lev Bet]]*-1,L19-K19)</f>
        <v>-100</v>
      </c>
      <c r="N19" s="135">
        <v>100</v>
      </c>
      <c r="O19" s="135" t="str">
        <f>IF(Table13232[[#This Row],[Fin]]&lt;&gt;"1st","",Table13232[[#This Row],[Div]]*Table13232[[#This Row],[Nat and Combo Bet]])</f>
        <v/>
      </c>
      <c r="P19" s="135">
        <f>IF(Table13232[[#This Row],[Lev Ret]]="",Table13232[[#This Row],[Nat and Combo Bet]]*-1,O19-N19)</f>
        <v>-100</v>
      </c>
      <c r="Q19" s="50">
        <f t="shared" si="0"/>
        <v>1</v>
      </c>
      <c r="R19" s="50" t="str">
        <f>IF(AND(Q18=2,Q19=1),"",IF(Q19=2,(N19+N20)/2,IF(Table13232[[#This Row],[Dual Listing]]=1,Table13232[[#This Row],[Nat and Combo Bet]],11)))</f>
        <v/>
      </c>
      <c r="S19" s="50" t="str">
        <f t="shared" si="1"/>
        <v/>
      </c>
      <c r="T19" s="50" t="str">
        <f t="shared" si="2"/>
        <v/>
      </c>
      <c r="U19" s="50" t="str">
        <f>IF(Table13232[[#This Row],[Date]]&lt;$U$4,"","Live")</f>
        <v/>
      </c>
      <c r="V19" s="45" t="str">
        <f>TEXT(Table13232[[#This Row],[Date]],"DDD")</f>
        <v>Sat</v>
      </c>
      <c r="W19" s="45" t="str">
        <f>PROPER(TRIM(Table13232[[#This Row],[Horse]]))</f>
        <v>Xarpo</v>
      </c>
    </row>
    <row r="20" spans="1:23" x14ac:dyDescent="0.25">
      <c r="A20" s="43">
        <v>45668</v>
      </c>
      <c r="B20" s="44">
        <v>0.55763888888888891</v>
      </c>
      <c r="C20" s="44" t="s">
        <v>10</v>
      </c>
      <c r="D20" s="45">
        <v>3</v>
      </c>
      <c r="E20" s="45">
        <v>2</v>
      </c>
      <c r="F20" s="46" t="s">
        <v>204</v>
      </c>
      <c r="G20" s="46"/>
      <c r="H20" s="47"/>
      <c r="I20" s="52" t="s">
        <v>297</v>
      </c>
      <c r="J20" s="45" t="str">
        <f>VLOOKUP(Table13232[[#This Row],[Track]],$C$836:$E$882,2,FALSE)</f>
        <v>Vic</v>
      </c>
      <c r="K20" s="49">
        <v>100</v>
      </c>
      <c r="L20" s="45" t="str">
        <f>IF(Table13232[[#This Row],[Fin]]&lt;&gt;"1st","",Table13232[[#This Row],[Div]]*Table13232[[#This Row],[Lev Bet]])</f>
        <v/>
      </c>
      <c r="M20" s="45">
        <f>IF(Table13232[[#This Row],[Lev Ret]]="",Table13232[[#This Row],[Lev Bet]]*-1,L20-K20)</f>
        <v>-100</v>
      </c>
      <c r="N20" s="135">
        <v>150</v>
      </c>
      <c r="O20" s="135" t="str">
        <f>IF(Table13232[[#This Row],[Fin]]&lt;&gt;"1st","",Table13232[[#This Row],[Div]]*Table13232[[#This Row],[Nat and Combo Bet]])</f>
        <v/>
      </c>
      <c r="P20" s="135">
        <f>IF(Table13232[[#This Row],[Lev Ret]]="",Table13232[[#This Row],[Nat and Combo Bet]]*-1,O20-N20)</f>
        <v>-150</v>
      </c>
      <c r="Q20" s="50">
        <f t="shared" si="0"/>
        <v>1</v>
      </c>
      <c r="R20" s="50">
        <f>IF(AND(Q19=2,Q20=1),"",IF(Q20=2,(N20+N21)/2,IF(Table13232[[#This Row],[Dual Listing]]=1,Table13232[[#This Row],[Nat and Combo Bet]],11)))</f>
        <v>150</v>
      </c>
      <c r="S20" s="50" t="str">
        <f t="shared" si="1"/>
        <v/>
      </c>
      <c r="T20" s="50">
        <f t="shared" si="2"/>
        <v>-150</v>
      </c>
      <c r="U20" s="50" t="str">
        <f>IF(Table13232[[#This Row],[Date]]&lt;$U$4,"","Live")</f>
        <v/>
      </c>
      <c r="V20" s="45" t="str">
        <f>TEXT(Table13232[[#This Row],[Date]],"DDD")</f>
        <v>Sat</v>
      </c>
      <c r="W20" s="45" t="str">
        <f>PROPER(TRIM(Table13232[[#This Row],[Horse]]))</f>
        <v>Keep Your Cool</v>
      </c>
    </row>
    <row r="21" spans="1:23" x14ac:dyDescent="0.25">
      <c r="A21" s="43">
        <v>45668</v>
      </c>
      <c r="B21" s="44">
        <v>0.55763888888888891</v>
      </c>
      <c r="C21" s="44" t="s">
        <v>10</v>
      </c>
      <c r="D21" s="45">
        <v>3</v>
      </c>
      <c r="E21" s="45">
        <v>1</v>
      </c>
      <c r="F21" s="46" t="s">
        <v>354</v>
      </c>
      <c r="G21" s="46" t="s">
        <v>21</v>
      </c>
      <c r="H21" s="47">
        <v>3.2</v>
      </c>
      <c r="I21" s="52" t="s">
        <v>297</v>
      </c>
      <c r="J21" s="45" t="str">
        <f>VLOOKUP(Table13232[[#This Row],[Track]],$C$836:$E$882,2,FALSE)</f>
        <v>Vic</v>
      </c>
      <c r="K21" s="49">
        <v>100</v>
      </c>
      <c r="L21" s="45">
        <f>IF(Table13232[[#This Row],[Fin]]&lt;&gt;"1st","",Table13232[[#This Row],[Div]]*Table13232[[#This Row],[Lev Bet]])</f>
        <v>320</v>
      </c>
      <c r="M21" s="45">
        <f>IF(Table13232[[#This Row],[Lev Ret]]="",Table13232[[#This Row],[Lev Bet]]*-1,L21-K21)</f>
        <v>220</v>
      </c>
      <c r="N21" s="135">
        <v>150</v>
      </c>
      <c r="O21" s="135">
        <f>IF(Table13232[[#This Row],[Fin]]&lt;&gt;"1st","",Table13232[[#This Row],[Div]]*Table13232[[#This Row],[Nat and Combo Bet]])</f>
        <v>480</v>
      </c>
      <c r="P21" s="135">
        <f>IF(Table13232[[#This Row],[Lev Ret]]="",Table13232[[#This Row],[Nat and Combo Bet]]*-1,O21-N21)</f>
        <v>330</v>
      </c>
      <c r="Q21" s="50">
        <f t="shared" si="0"/>
        <v>1</v>
      </c>
      <c r="R21" s="50">
        <f>IF(AND(Q20=2,Q21=1),"",IF(Q21=2,(N21+N22)/2,IF(Table13232[[#This Row],[Dual Listing]]=1,Table13232[[#This Row],[Nat and Combo Bet]],11)))</f>
        <v>150</v>
      </c>
      <c r="S21" s="50">
        <f t="shared" si="1"/>
        <v>480</v>
      </c>
      <c r="T21" s="50">
        <f t="shared" si="2"/>
        <v>330</v>
      </c>
      <c r="U21" s="50" t="str">
        <f>IF(Table13232[[#This Row],[Date]]&lt;$U$4,"","Live")</f>
        <v/>
      </c>
      <c r="V21" s="45" t="str">
        <f>TEXT(Table13232[[#This Row],[Date]],"DDD")</f>
        <v>Sat</v>
      </c>
      <c r="W21" s="45" t="str">
        <f>PROPER(TRIM(Table13232[[#This Row],[Horse]]))</f>
        <v>Smokin' Princess</v>
      </c>
    </row>
    <row r="22" spans="1:23" x14ac:dyDescent="0.25">
      <c r="A22" s="43">
        <v>45668</v>
      </c>
      <c r="B22" s="44">
        <v>0.58194444444444449</v>
      </c>
      <c r="C22" s="44" t="s">
        <v>10</v>
      </c>
      <c r="D22" s="45">
        <v>4</v>
      </c>
      <c r="E22" s="45">
        <v>5</v>
      </c>
      <c r="F22" s="46" t="s">
        <v>356</v>
      </c>
      <c r="G22" s="46"/>
      <c r="H22" s="47"/>
      <c r="I22" s="52" t="s">
        <v>297</v>
      </c>
      <c r="J22" s="45" t="str">
        <f>VLOOKUP(Table13232[[#This Row],[Track]],$C$836:$E$882,2,FALSE)</f>
        <v>Vic</v>
      </c>
      <c r="K22" s="49">
        <v>100</v>
      </c>
      <c r="L22" s="45" t="str">
        <f>IF(Table13232[[#This Row],[Fin]]&lt;&gt;"1st","",Table13232[[#This Row],[Div]]*Table13232[[#This Row],[Lev Bet]])</f>
        <v/>
      </c>
      <c r="M22" s="45">
        <f>IF(Table13232[[#This Row],[Lev Ret]]="",Table13232[[#This Row],[Lev Bet]]*-1,L22-K22)</f>
        <v>-100</v>
      </c>
      <c r="N22" s="135">
        <v>160</v>
      </c>
      <c r="O22" s="135" t="str">
        <f>IF(Table13232[[#This Row],[Fin]]&lt;&gt;"1st","",Table13232[[#This Row],[Div]]*Table13232[[#This Row],[Nat and Combo Bet]])</f>
        <v/>
      </c>
      <c r="P22" s="135">
        <f>IF(Table13232[[#This Row],[Lev Ret]]="",Table13232[[#This Row],[Nat and Combo Bet]]*-1,O22-N22)</f>
        <v>-160</v>
      </c>
      <c r="Q22" s="50">
        <f t="shared" si="0"/>
        <v>1</v>
      </c>
      <c r="R22" s="50">
        <f>IF(AND(Q21=2,Q22=1),"",IF(Q22=2,(N22+N23)/2,IF(Table13232[[#This Row],[Dual Listing]]=1,Table13232[[#This Row],[Nat and Combo Bet]],11)))</f>
        <v>160</v>
      </c>
      <c r="S22" s="50" t="str">
        <f t="shared" si="1"/>
        <v/>
      </c>
      <c r="T22" s="50">
        <f t="shared" si="2"/>
        <v>-160</v>
      </c>
      <c r="U22" s="50" t="str">
        <f>IF(Table13232[[#This Row],[Date]]&lt;$U$4,"","Live")</f>
        <v/>
      </c>
      <c r="V22" s="45" t="str">
        <f>TEXT(Table13232[[#This Row],[Date]],"DDD")</f>
        <v>Sat</v>
      </c>
      <c r="W22" s="45" t="str">
        <f>PROPER(TRIM(Table13232[[#This Row],[Horse]]))</f>
        <v>Flamin' Romans</v>
      </c>
    </row>
    <row r="23" spans="1:23" x14ac:dyDescent="0.25">
      <c r="A23" s="43">
        <v>45668</v>
      </c>
      <c r="B23" s="44">
        <v>0.58194444444444449</v>
      </c>
      <c r="C23" s="44" t="s">
        <v>10</v>
      </c>
      <c r="D23" s="45">
        <v>4</v>
      </c>
      <c r="E23" s="45">
        <v>1</v>
      </c>
      <c r="F23" s="46" t="s">
        <v>355</v>
      </c>
      <c r="G23" s="46" t="s">
        <v>21</v>
      </c>
      <c r="H23" s="47">
        <v>5.5</v>
      </c>
      <c r="I23" s="52" t="s">
        <v>297</v>
      </c>
      <c r="J23" s="45" t="str">
        <f>VLOOKUP(Table13232[[#This Row],[Track]],$C$836:$E$882,2,FALSE)</f>
        <v>Vic</v>
      </c>
      <c r="K23" s="49">
        <v>100</v>
      </c>
      <c r="L23" s="45">
        <f>IF(Table13232[[#This Row],[Fin]]&lt;&gt;"1st","",Table13232[[#This Row],[Div]]*Table13232[[#This Row],[Lev Bet]])</f>
        <v>550</v>
      </c>
      <c r="M23" s="45">
        <f>IF(Table13232[[#This Row],[Lev Ret]]="",Table13232[[#This Row],[Lev Bet]]*-1,L23-K23)</f>
        <v>450</v>
      </c>
      <c r="N23" s="135">
        <v>150</v>
      </c>
      <c r="O23" s="135">
        <f>IF(Table13232[[#This Row],[Fin]]&lt;&gt;"1st","",Table13232[[#This Row],[Div]]*Table13232[[#This Row],[Nat and Combo Bet]])</f>
        <v>825</v>
      </c>
      <c r="P23" s="135">
        <f>IF(Table13232[[#This Row],[Lev Ret]]="",Table13232[[#This Row],[Nat and Combo Bet]]*-1,O23-N23)</f>
        <v>675</v>
      </c>
      <c r="Q23" s="50">
        <f t="shared" si="0"/>
        <v>1</v>
      </c>
      <c r="R23" s="50">
        <f>IF(AND(Q22=2,Q23=1),"",IF(Q23=2,(N23+N24)/2,IF(Table13232[[#This Row],[Dual Listing]]=1,Table13232[[#This Row],[Nat and Combo Bet]],11)))</f>
        <v>150</v>
      </c>
      <c r="S23" s="50">
        <f t="shared" si="1"/>
        <v>825</v>
      </c>
      <c r="T23" s="50">
        <f t="shared" si="2"/>
        <v>675</v>
      </c>
      <c r="U23" s="50" t="str">
        <f>IF(Table13232[[#This Row],[Date]]&lt;$U$4,"","Live")</f>
        <v/>
      </c>
      <c r="V23" s="45" t="str">
        <f>TEXT(Table13232[[#This Row],[Date]],"DDD")</f>
        <v>Sat</v>
      </c>
      <c r="W23" s="45" t="str">
        <f>PROPER(TRIM(Table13232[[#This Row],[Horse]]))</f>
        <v>Taramansour</v>
      </c>
    </row>
    <row r="24" spans="1:23" x14ac:dyDescent="0.25">
      <c r="A24" s="43">
        <v>45668</v>
      </c>
      <c r="B24" s="44">
        <v>0.63055555555555554</v>
      </c>
      <c r="C24" s="44" t="s">
        <v>10</v>
      </c>
      <c r="D24" s="45">
        <v>6</v>
      </c>
      <c r="E24" s="45">
        <v>7</v>
      </c>
      <c r="F24" s="46" t="s">
        <v>202</v>
      </c>
      <c r="G24" s="46" t="s">
        <v>23</v>
      </c>
      <c r="H24" s="47"/>
      <c r="I24" s="47" t="s">
        <v>298</v>
      </c>
      <c r="J24" s="45" t="str">
        <f>VLOOKUP(Table13232[[#This Row],[Track]],$C$836:$E$882,2,FALSE)</f>
        <v>Vic</v>
      </c>
      <c r="K24" s="49">
        <v>100</v>
      </c>
      <c r="L24" s="45" t="str">
        <f>IF(Table13232[[#This Row],[Fin]]&lt;&gt;"1st","",Table13232[[#This Row],[Div]]*Table13232[[#This Row],[Lev Bet]])</f>
        <v/>
      </c>
      <c r="M24" s="45">
        <f>IF(Table13232[[#This Row],[Lev Ret]]="",Table13232[[#This Row],[Lev Bet]]*-1,L24-K24)</f>
        <v>-100</v>
      </c>
      <c r="N24" s="135">
        <v>100</v>
      </c>
      <c r="O24" s="135" t="str">
        <f>IF(Table13232[[#This Row],[Fin]]&lt;&gt;"1st","",Table13232[[#This Row],[Div]]*Table13232[[#This Row],[Nat and Combo Bet]])</f>
        <v/>
      </c>
      <c r="P24" s="135">
        <f>IF(Table13232[[#This Row],[Lev Ret]]="",Table13232[[#This Row],[Nat and Combo Bet]]*-1,O24-N24)</f>
        <v>-100</v>
      </c>
      <c r="Q24" s="50">
        <f t="shared" si="0"/>
        <v>1</v>
      </c>
      <c r="R24" s="50">
        <f>IF(AND(Q23=2,Q24=1),"",IF(Q24=2,(N24+N25)/2,IF(Table13232[[#This Row],[Dual Listing]]=1,Table13232[[#This Row],[Nat and Combo Bet]],11)))</f>
        <v>100</v>
      </c>
      <c r="S24" s="50" t="str">
        <f t="shared" si="1"/>
        <v/>
      </c>
      <c r="T24" s="50">
        <f t="shared" si="2"/>
        <v>-100</v>
      </c>
      <c r="U24" s="50" t="str">
        <f>IF(Table13232[[#This Row],[Date]]&lt;$U$4,"","Live")</f>
        <v/>
      </c>
      <c r="V24" s="45" t="str">
        <f>TEXT(Table13232[[#This Row],[Date]],"DDD")</f>
        <v>Sat</v>
      </c>
      <c r="W24" s="45" t="str">
        <f>PROPER(TRIM(Table13232[[#This Row],[Horse]]))</f>
        <v>La Fracas</v>
      </c>
    </row>
    <row r="25" spans="1:23" x14ac:dyDescent="0.25">
      <c r="A25" s="43">
        <v>45668</v>
      </c>
      <c r="B25" s="44">
        <v>0.67013888888888884</v>
      </c>
      <c r="C25" s="44" t="s">
        <v>85</v>
      </c>
      <c r="D25" s="45">
        <v>7</v>
      </c>
      <c r="E25" s="45">
        <v>8</v>
      </c>
      <c r="F25" s="46" t="s">
        <v>203</v>
      </c>
      <c r="G25" s="46" t="s">
        <v>23</v>
      </c>
      <c r="H25" s="47"/>
      <c r="I25" s="52" t="s">
        <v>297</v>
      </c>
      <c r="J25" s="45" t="str">
        <f>VLOOKUP(Table13232[[#This Row],[Track]],$C$836:$E$882,2,FALSE)</f>
        <v>NSW</v>
      </c>
      <c r="K25" s="49">
        <v>100</v>
      </c>
      <c r="L25" s="45" t="str">
        <f>IF(Table13232[[#This Row],[Fin]]&lt;&gt;"1st","",Table13232[[#This Row],[Div]]*Table13232[[#This Row],[Lev Bet]])</f>
        <v/>
      </c>
      <c r="M25" s="45">
        <f>IF(Table13232[[#This Row],[Lev Ret]]="",Table13232[[#This Row],[Lev Bet]]*-1,L25-K25)</f>
        <v>-100</v>
      </c>
      <c r="N25" s="135">
        <v>150</v>
      </c>
      <c r="O25" s="135" t="str">
        <f>IF(Table13232[[#This Row],[Fin]]&lt;&gt;"1st","",Table13232[[#This Row],[Div]]*Table13232[[#This Row],[Nat and Combo Bet]])</f>
        <v/>
      </c>
      <c r="P25" s="135">
        <f>IF(Table13232[[#This Row],[Lev Ret]]="",Table13232[[#This Row],[Nat and Combo Bet]]*-1,O25-N25)</f>
        <v>-150</v>
      </c>
      <c r="Q25" s="50">
        <f t="shared" si="0"/>
        <v>1</v>
      </c>
      <c r="R25" s="50">
        <f>IF(AND(Q24=2,Q25=1),"",IF(Q25=2,(N25+N26)/2,IF(Table13232[[#This Row],[Dual Listing]]=1,Table13232[[#This Row],[Nat and Combo Bet]],11)))</f>
        <v>150</v>
      </c>
      <c r="S25" s="50" t="str">
        <f t="shared" si="1"/>
        <v/>
      </c>
      <c r="T25" s="50">
        <f t="shared" si="2"/>
        <v>-150</v>
      </c>
      <c r="U25" s="50" t="str">
        <f>IF(Table13232[[#This Row],[Date]]&lt;$U$4,"","Live")</f>
        <v/>
      </c>
      <c r="V25" s="45" t="str">
        <f>TEXT(Table13232[[#This Row],[Date]],"DDD")</f>
        <v>Sat</v>
      </c>
      <c r="W25" s="45" t="str">
        <f>PROPER(TRIM(Table13232[[#This Row],[Horse]]))</f>
        <v>Unlimited</v>
      </c>
    </row>
    <row r="26" spans="1:23" x14ac:dyDescent="0.25">
      <c r="A26" s="43">
        <v>45668</v>
      </c>
      <c r="B26" s="44">
        <v>0.69444444444444442</v>
      </c>
      <c r="C26" s="44" t="s">
        <v>85</v>
      </c>
      <c r="D26" s="45">
        <v>8</v>
      </c>
      <c r="E26" s="45">
        <v>12</v>
      </c>
      <c r="F26" s="46" t="s">
        <v>86</v>
      </c>
      <c r="G26" s="46"/>
      <c r="H26" s="47"/>
      <c r="I26" s="47" t="s">
        <v>298</v>
      </c>
      <c r="J26" s="45" t="str">
        <f>VLOOKUP(Table13232[[#This Row],[Track]],$C$836:$E$882,2,FALSE)</f>
        <v>NSW</v>
      </c>
      <c r="K26" s="49">
        <v>100</v>
      </c>
      <c r="L26" s="45" t="str">
        <f>IF(Table13232[[#This Row],[Fin]]&lt;&gt;"1st","",Table13232[[#This Row],[Div]]*Table13232[[#This Row],[Lev Bet]])</f>
        <v/>
      </c>
      <c r="M26" s="45">
        <f>IF(Table13232[[#This Row],[Lev Ret]]="",Table13232[[#This Row],[Lev Bet]]*-1,L26-K26)</f>
        <v>-100</v>
      </c>
      <c r="N26" s="135">
        <v>150</v>
      </c>
      <c r="O26" s="135" t="str">
        <f>IF(Table13232[[#This Row],[Fin]]&lt;&gt;"1st","",Table13232[[#This Row],[Div]]*Table13232[[#This Row],[Nat and Combo Bet]])</f>
        <v/>
      </c>
      <c r="P26" s="135">
        <f>IF(Table13232[[#This Row],[Lev Ret]]="",Table13232[[#This Row],[Nat and Combo Bet]]*-1,O26-N26)</f>
        <v>-150</v>
      </c>
      <c r="Q26" s="50">
        <f t="shared" si="0"/>
        <v>1</v>
      </c>
      <c r="R26" s="50">
        <f>IF(AND(Q25=2,Q26=1),"",IF(Q26=2,(N26+N27)/2,IF(Table13232[[#This Row],[Dual Listing]]=1,Table13232[[#This Row],[Nat and Combo Bet]],11)))</f>
        <v>150</v>
      </c>
      <c r="S26" s="50" t="str">
        <f t="shared" si="1"/>
        <v/>
      </c>
      <c r="T26" s="50">
        <f t="shared" si="2"/>
        <v>-150</v>
      </c>
      <c r="U26" s="50" t="str">
        <f>IF(Table13232[[#This Row],[Date]]&lt;$U$4,"","Live")</f>
        <v/>
      </c>
      <c r="V26" s="45" t="str">
        <f>TEXT(Table13232[[#This Row],[Date]],"DDD")</f>
        <v>Sat</v>
      </c>
      <c r="W26" s="45" t="str">
        <f>PROPER(TRIM(Table13232[[#This Row],[Horse]]))</f>
        <v>Redbreast</v>
      </c>
    </row>
    <row r="27" spans="1:23" x14ac:dyDescent="0.25">
      <c r="A27" s="43">
        <v>45668</v>
      </c>
      <c r="B27" s="44">
        <v>0.70694444444444449</v>
      </c>
      <c r="C27" s="44" t="s">
        <v>10</v>
      </c>
      <c r="D27" s="45">
        <v>9</v>
      </c>
      <c r="E27" s="45">
        <v>11</v>
      </c>
      <c r="F27" s="46" t="s">
        <v>357</v>
      </c>
      <c r="G27" s="46" t="s">
        <v>21</v>
      </c>
      <c r="H27" s="47">
        <v>5</v>
      </c>
      <c r="I27" s="52" t="s">
        <v>297</v>
      </c>
      <c r="J27" s="45" t="str">
        <f>VLOOKUP(Table13232[[#This Row],[Track]],$C$836:$E$882,2,FALSE)</f>
        <v>Vic</v>
      </c>
      <c r="K27" s="49">
        <v>100</v>
      </c>
      <c r="L27" s="45">
        <f>IF(Table13232[[#This Row],[Fin]]&lt;&gt;"1st","",Table13232[[#This Row],[Div]]*Table13232[[#This Row],[Lev Bet]])</f>
        <v>500</v>
      </c>
      <c r="M27" s="45">
        <f>IF(Table13232[[#This Row],[Lev Ret]]="",Table13232[[#This Row],[Lev Bet]]*-1,L27-K27)</f>
        <v>400</v>
      </c>
      <c r="N27" s="135">
        <v>50</v>
      </c>
      <c r="O27" s="135">
        <f>IF(Table13232[[#This Row],[Fin]]&lt;&gt;"1st","",Table13232[[#This Row],[Div]]*Table13232[[#This Row],[Nat and Combo Bet]])</f>
        <v>250</v>
      </c>
      <c r="P27" s="135">
        <f>IF(Table13232[[#This Row],[Lev Ret]]="",Table13232[[#This Row],[Nat and Combo Bet]]*-1,O27-N27)</f>
        <v>200</v>
      </c>
      <c r="Q27" s="50">
        <f t="shared" si="0"/>
        <v>1</v>
      </c>
      <c r="R27" s="50">
        <f>IF(AND(Q26=2,Q27=1),"",IF(Q27=2,(N27+N28)/2,IF(Table13232[[#This Row],[Dual Listing]]=1,Table13232[[#This Row],[Nat and Combo Bet]],11)))</f>
        <v>50</v>
      </c>
      <c r="S27" s="50">
        <f t="shared" si="1"/>
        <v>250</v>
      </c>
      <c r="T27" s="50">
        <f t="shared" si="2"/>
        <v>200</v>
      </c>
      <c r="U27" s="50" t="str">
        <f>IF(Table13232[[#This Row],[Date]]&lt;$U$4,"","Live")</f>
        <v/>
      </c>
      <c r="V27" s="45" t="str">
        <f>TEXT(Table13232[[#This Row],[Date]],"DDD")</f>
        <v>Sat</v>
      </c>
      <c r="W27" s="45" t="str">
        <f>PROPER(TRIM(Table13232[[#This Row],[Horse]]))</f>
        <v>Elphinstone</v>
      </c>
    </row>
    <row r="28" spans="1:23" x14ac:dyDescent="0.25">
      <c r="A28" s="43">
        <v>45668</v>
      </c>
      <c r="B28" s="44">
        <v>0.72222222222222221</v>
      </c>
      <c r="C28" s="44" t="s">
        <v>85</v>
      </c>
      <c r="D28" s="45">
        <v>9</v>
      </c>
      <c r="E28" s="45">
        <v>13</v>
      </c>
      <c r="F28" s="46" t="s">
        <v>358</v>
      </c>
      <c r="G28" s="46"/>
      <c r="H28" s="47"/>
      <c r="I28" s="52" t="s">
        <v>297</v>
      </c>
      <c r="J28" s="45" t="str">
        <f>VLOOKUP(Table13232[[#This Row],[Track]],$C$836:$E$882,2,FALSE)</f>
        <v>NSW</v>
      </c>
      <c r="K28" s="49">
        <v>100</v>
      </c>
      <c r="L28" s="45" t="str">
        <f>IF(Table13232[[#This Row],[Fin]]&lt;&gt;"1st","",Table13232[[#This Row],[Div]]*Table13232[[#This Row],[Lev Bet]])</f>
        <v/>
      </c>
      <c r="M28" s="45">
        <f>IF(Table13232[[#This Row],[Lev Ret]]="",Table13232[[#This Row],[Lev Bet]]*-1,L28-K28)</f>
        <v>-100</v>
      </c>
      <c r="N28" s="135">
        <v>100</v>
      </c>
      <c r="O28" s="135" t="str">
        <f>IF(Table13232[[#This Row],[Fin]]&lt;&gt;"1st","",Table13232[[#This Row],[Div]]*Table13232[[#This Row],[Nat and Combo Bet]])</f>
        <v/>
      </c>
      <c r="P28" s="135">
        <f>IF(Table13232[[#This Row],[Lev Ret]]="",Table13232[[#This Row],[Nat and Combo Bet]]*-1,O28-N28)</f>
        <v>-100</v>
      </c>
      <c r="Q28" s="50">
        <f t="shared" si="0"/>
        <v>1</v>
      </c>
      <c r="R28" s="50">
        <f>IF(AND(Q27=2,Q28=1),"",IF(Q28=2,(N28+N29)/2,IF(Table13232[[#This Row],[Dual Listing]]=1,Table13232[[#This Row],[Nat and Combo Bet]],11)))</f>
        <v>100</v>
      </c>
      <c r="S28" s="50" t="str">
        <f t="shared" si="1"/>
        <v/>
      </c>
      <c r="T28" s="50">
        <f t="shared" si="2"/>
        <v>-100</v>
      </c>
      <c r="U28" s="50" t="str">
        <f>IF(Table13232[[#This Row],[Date]]&lt;$U$4,"","Live")</f>
        <v/>
      </c>
      <c r="V28" s="45" t="str">
        <f>TEXT(Table13232[[#This Row],[Date]],"DDD")</f>
        <v>Sat</v>
      </c>
      <c r="W28" s="45" t="str">
        <f>PROPER(TRIM(Table13232[[#This Row],[Horse]]))</f>
        <v>Sisterhood</v>
      </c>
    </row>
    <row r="29" spans="1:23" x14ac:dyDescent="0.25">
      <c r="A29" s="43">
        <v>45675</v>
      </c>
      <c r="B29" s="44">
        <v>0.51041666666666663</v>
      </c>
      <c r="C29" s="44" t="s">
        <v>10</v>
      </c>
      <c r="D29" s="45">
        <v>1</v>
      </c>
      <c r="E29" s="45">
        <v>3</v>
      </c>
      <c r="F29" s="46" t="s">
        <v>377</v>
      </c>
      <c r="G29" s="46" t="s">
        <v>21</v>
      </c>
      <c r="H29" s="47">
        <v>2.8</v>
      </c>
      <c r="I29" s="47" t="s">
        <v>298</v>
      </c>
      <c r="J29" s="45" t="str">
        <f>VLOOKUP(Table13232[[#This Row],[Track]],$C$836:$E$882,2,FALSE)</f>
        <v>Vic</v>
      </c>
      <c r="K29" s="49">
        <v>100</v>
      </c>
      <c r="L29" s="45">
        <f>IF(Table13232[[#This Row],[Fin]]&lt;&gt;"1st","",Table13232[[#This Row],[Div]]*Table13232[[#This Row],[Lev Bet]])</f>
        <v>280</v>
      </c>
      <c r="M29" s="45">
        <f>IF(Table13232[[#This Row],[Lev Ret]]="",Table13232[[#This Row],[Lev Bet]]*-1,L29-K29)</f>
        <v>180</v>
      </c>
      <c r="N29" s="135">
        <v>200</v>
      </c>
      <c r="O29" s="135">
        <f>IF(Table13232[[#This Row],[Fin]]&lt;&gt;"1st","",Table13232[[#This Row],[Div]]*Table13232[[#This Row],[Nat and Combo Bet]])</f>
        <v>560</v>
      </c>
      <c r="P29" s="135">
        <f>IF(Table13232[[#This Row],[Lev Ret]]="",Table13232[[#This Row],[Nat and Combo Bet]]*-1,O29-N29)</f>
        <v>360</v>
      </c>
      <c r="Q29" s="50">
        <f t="shared" si="0"/>
        <v>1</v>
      </c>
      <c r="R29" s="50">
        <f>IF(AND(Q28=2,Q29=1),"",IF(Q29=2,(N29+N30)/2,IF(Table13232[[#This Row],[Dual Listing]]=1,Table13232[[#This Row],[Nat and Combo Bet]],11)))</f>
        <v>200</v>
      </c>
      <c r="S29" s="50">
        <f t="shared" si="1"/>
        <v>560</v>
      </c>
      <c r="T29" s="50">
        <f t="shared" si="2"/>
        <v>360</v>
      </c>
      <c r="U29" s="50" t="str">
        <f>IF(Table13232[[#This Row],[Date]]&lt;$U$4,"","Live")</f>
        <v/>
      </c>
      <c r="V29" s="45" t="str">
        <f>TEXT(Table13232[[#This Row],[Date]],"DDD")</f>
        <v>Sat</v>
      </c>
      <c r="W29" s="45" t="str">
        <f>PROPER(TRIM(Table13232[[#This Row],[Horse]]))</f>
        <v>Marble Arch</v>
      </c>
    </row>
    <row r="30" spans="1:23" x14ac:dyDescent="0.25">
      <c r="A30" s="43">
        <v>45675</v>
      </c>
      <c r="B30" s="44">
        <v>0.51041666666666663</v>
      </c>
      <c r="C30" s="44" t="s">
        <v>10</v>
      </c>
      <c r="D30" s="45">
        <v>1</v>
      </c>
      <c r="E30" s="45">
        <v>1</v>
      </c>
      <c r="F30" s="46" t="s">
        <v>359</v>
      </c>
      <c r="G30" s="46" t="s">
        <v>476</v>
      </c>
      <c r="H30" s="47"/>
      <c r="I30" s="52" t="s">
        <v>297</v>
      </c>
      <c r="J30" s="45" t="str">
        <f>VLOOKUP(Table13232[[#This Row],[Track]],$C$836:$E$882,2,FALSE)</f>
        <v>Vic</v>
      </c>
      <c r="K30" s="49">
        <v>100</v>
      </c>
      <c r="L30" s="45" t="str">
        <f>IF(Table13232[[#This Row],[Fin]]&lt;&gt;"1st","",Table13232[[#This Row],[Div]]*Table13232[[#This Row],[Lev Bet]])</f>
        <v/>
      </c>
      <c r="M30" s="45">
        <f>IF(Table13232[[#This Row],[Lev Ret]]="",Table13232[[#This Row],[Lev Bet]]*-1,L30-K30)</f>
        <v>-100</v>
      </c>
      <c r="N30" s="135">
        <v>120</v>
      </c>
      <c r="O30" s="135" t="str">
        <f>IF(Table13232[[#This Row],[Fin]]&lt;&gt;"1st","",Table13232[[#This Row],[Div]]*Table13232[[#This Row],[Nat and Combo Bet]])</f>
        <v/>
      </c>
      <c r="P30" s="135">
        <f>IF(Table13232[[#This Row],[Lev Ret]]="",Table13232[[#This Row],[Nat and Combo Bet]]*-1,O30-N30)</f>
        <v>-120</v>
      </c>
      <c r="Q30" s="50">
        <f t="shared" si="0"/>
        <v>1</v>
      </c>
      <c r="R30" s="50">
        <f>IF(AND(Q29=2,Q30=1),"",IF(Q30=2,(N30+N31)/2,IF(Table13232[[#This Row],[Dual Listing]]=1,Table13232[[#This Row],[Nat and Combo Bet]],11)))</f>
        <v>120</v>
      </c>
      <c r="S30" s="50" t="str">
        <f t="shared" si="1"/>
        <v/>
      </c>
      <c r="T30" s="50">
        <f t="shared" si="2"/>
        <v>-120</v>
      </c>
      <c r="U30" s="50" t="str">
        <f>IF(Table13232[[#This Row],[Date]]&lt;$U$4,"","Live")</f>
        <v/>
      </c>
      <c r="V30" s="45" t="str">
        <f>TEXT(Table13232[[#This Row],[Date]],"DDD")</f>
        <v>Sat</v>
      </c>
      <c r="W30" s="45" t="str">
        <f>PROPER(TRIM(Table13232[[#This Row],[Horse]]))</f>
        <v>Munhamek</v>
      </c>
    </row>
    <row r="31" spans="1:23" x14ac:dyDescent="0.25">
      <c r="A31" s="109">
        <v>45675</v>
      </c>
      <c r="B31" s="53">
        <v>0.55555555555555558</v>
      </c>
      <c r="C31" s="110" t="s">
        <v>10</v>
      </c>
      <c r="D31" s="111">
        <v>3</v>
      </c>
      <c r="E31" s="111">
        <v>1</v>
      </c>
      <c r="F31" s="112" t="s">
        <v>360</v>
      </c>
      <c r="G31" s="112"/>
      <c r="H31" s="113"/>
      <c r="I31" s="114" t="s">
        <v>297</v>
      </c>
      <c r="J31" s="45" t="str">
        <f>VLOOKUP(Table13232[[#This Row],[Track]],$C$836:$E$882,2,FALSE)</f>
        <v>Vic</v>
      </c>
      <c r="K31" s="55">
        <v>100</v>
      </c>
      <c r="L31" s="54" t="str">
        <f>IF(Table13232[[#This Row],[Fin]]&lt;&gt;"1st","",Table13232[[#This Row],[Div]]*Table13232[[#This Row],[Lev Bet]])</f>
        <v/>
      </c>
      <c r="M31" s="54">
        <f>IF(Table13232[[#This Row],[Lev Ret]]="",Table13232[[#This Row],[Lev Bet]]*-1,L31-K31)</f>
        <v>-100</v>
      </c>
      <c r="N31" s="135">
        <v>50</v>
      </c>
      <c r="O31" s="135" t="str">
        <f>IF(Table13232[[#This Row],[Fin]]&lt;&gt;"1st","",Table13232[[#This Row],[Div]]*Table13232[[#This Row],[Nat and Combo Bet]])</f>
        <v/>
      </c>
      <c r="P31" s="135">
        <f>IF(Table13232[[#This Row],[Lev Ret]]="",Table13232[[#This Row],[Nat and Combo Bet]]*-1,O31-N31)</f>
        <v>-50</v>
      </c>
      <c r="Q31" s="50">
        <f t="shared" si="0"/>
        <v>2</v>
      </c>
      <c r="R31" s="50">
        <f>IF(AND(Q30=2,Q31=1),"",IF(Q31=2,(N31+N32)/2,IF(Table13232[[#This Row],[Dual Listing]]=1,Table13232[[#This Row],[Nat and Combo Bet]],11)))</f>
        <v>75</v>
      </c>
      <c r="S31" s="50" t="str">
        <f t="shared" si="1"/>
        <v/>
      </c>
      <c r="T31" s="50">
        <f t="shared" si="2"/>
        <v>-75</v>
      </c>
      <c r="U31" s="50" t="str">
        <f>IF(Table13232[[#This Row],[Date]]&lt;$U$4,"","Live")</f>
        <v/>
      </c>
      <c r="V31" s="45" t="str">
        <f>TEXT(Table13232[[#This Row],[Date]],"DDD")</f>
        <v>Sat</v>
      </c>
      <c r="W31" s="45" t="str">
        <f>PROPER(TRIM(Table13232[[#This Row],[Horse]]))</f>
        <v>Centennial Park</v>
      </c>
    </row>
    <row r="32" spans="1:23" x14ac:dyDescent="0.25">
      <c r="A32" s="109">
        <v>45675</v>
      </c>
      <c r="B32" s="53">
        <v>0.55555555555555558</v>
      </c>
      <c r="C32" s="110" t="s">
        <v>10</v>
      </c>
      <c r="D32" s="111">
        <v>3</v>
      </c>
      <c r="E32" s="111">
        <v>1</v>
      </c>
      <c r="F32" s="112" t="s">
        <v>360</v>
      </c>
      <c r="G32" s="112"/>
      <c r="H32" s="113"/>
      <c r="I32" s="113" t="s">
        <v>298</v>
      </c>
      <c r="J32" s="45" t="str">
        <f>VLOOKUP(Table13232[[#This Row],[Track]],$C$836:$E$882,2,FALSE)</f>
        <v>Vic</v>
      </c>
      <c r="K32" s="55">
        <v>100</v>
      </c>
      <c r="L32" s="54" t="str">
        <f>IF(Table13232[[#This Row],[Fin]]&lt;&gt;"1st","",Table13232[[#This Row],[Div]]*Table13232[[#This Row],[Lev Bet]])</f>
        <v/>
      </c>
      <c r="M32" s="54">
        <f>IF(Table13232[[#This Row],[Lev Ret]]="",Table13232[[#This Row],[Lev Bet]]*-1,L32-K32)</f>
        <v>-100</v>
      </c>
      <c r="N32" s="135">
        <v>100</v>
      </c>
      <c r="O32" s="135" t="str">
        <f>IF(Table13232[[#This Row],[Fin]]&lt;&gt;"1st","",Table13232[[#This Row],[Div]]*Table13232[[#This Row],[Nat and Combo Bet]])</f>
        <v/>
      </c>
      <c r="P32" s="135">
        <f>IF(Table13232[[#This Row],[Lev Ret]]="",Table13232[[#This Row],[Nat and Combo Bet]]*-1,O32-N32)</f>
        <v>-100</v>
      </c>
      <c r="Q32" s="50">
        <f t="shared" si="0"/>
        <v>1</v>
      </c>
      <c r="R32" s="50" t="str">
        <f>IF(AND(Q31=2,Q32=1),"",IF(Q32=2,(N32+N33)/2,IF(Table13232[[#This Row],[Dual Listing]]=1,Table13232[[#This Row],[Nat and Combo Bet]],11)))</f>
        <v/>
      </c>
      <c r="S32" s="50" t="str">
        <f t="shared" si="1"/>
        <v/>
      </c>
      <c r="T32" s="50" t="str">
        <f t="shared" si="2"/>
        <v/>
      </c>
      <c r="U32" s="50" t="str">
        <f>IF(Table13232[[#This Row],[Date]]&lt;$U$4,"","Live")</f>
        <v/>
      </c>
      <c r="V32" s="45" t="str">
        <f>TEXT(Table13232[[#This Row],[Date]],"DDD")</f>
        <v>Sat</v>
      </c>
      <c r="W32" s="45" t="str">
        <f>PROPER(TRIM(Table13232[[#This Row],[Horse]]))</f>
        <v>Centennial Park</v>
      </c>
    </row>
    <row r="33" spans="1:23" x14ac:dyDescent="0.25">
      <c r="A33" s="43">
        <v>45675</v>
      </c>
      <c r="B33" s="44">
        <v>0.57499999999999996</v>
      </c>
      <c r="C33" s="44" t="s">
        <v>12</v>
      </c>
      <c r="D33" s="45">
        <v>2</v>
      </c>
      <c r="E33" s="45">
        <v>7</v>
      </c>
      <c r="F33" s="46" t="s">
        <v>478</v>
      </c>
      <c r="G33" s="46" t="s">
        <v>22</v>
      </c>
      <c r="H33" s="47"/>
      <c r="I33" s="47" t="s">
        <v>298</v>
      </c>
      <c r="J33" s="45" t="str">
        <f>VLOOKUP(Table13232[[#This Row],[Track]],$C$836:$E$882,2,FALSE)</f>
        <v>Qld</v>
      </c>
      <c r="K33" s="49">
        <v>100</v>
      </c>
      <c r="L33" s="45" t="str">
        <f>IF(Table13232[[#This Row],[Fin]]&lt;&gt;"1st","",Table13232[[#This Row],[Div]]*Table13232[[#This Row],[Lev Bet]])</f>
        <v/>
      </c>
      <c r="M33" s="45">
        <f>IF(Table13232[[#This Row],[Lev Ret]]="",Table13232[[#This Row],[Lev Bet]]*-1,L33-K33)</f>
        <v>-100</v>
      </c>
      <c r="N33" s="135">
        <v>100</v>
      </c>
      <c r="O33" s="135" t="str">
        <f>IF(Table13232[[#This Row],[Fin]]&lt;&gt;"1st","",Table13232[[#This Row],[Div]]*Table13232[[#This Row],[Nat and Combo Bet]])</f>
        <v/>
      </c>
      <c r="P33" s="135">
        <f>IF(Table13232[[#This Row],[Lev Ret]]="",Table13232[[#This Row],[Nat and Combo Bet]]*-1,O33-N33)</f>
        <v>-100</v>
      </c>
      <c r="Q33" s="50">
        <f t="shared" si="0"/>
        <v>1</v>
      </c>
      <c r="R33" s="50">
        <f>IF(AND(Q32=2,Q33=1),"",IF(Q33=2,(N33+N34)/2,IF(Table13232[[#This Row],[Dual Listing]]=1,Table13232[[#This Row],[Nat and Combo Bet]],11)))</f>
        <v>100</v>
      </c>
      <c r="S33" s="50" t="str">
        <f t="shared" si="1"/>
        <v/>
      </c>
      <c r="T33" s="50">
        <f t="shared" si="2"/>
        <v>-100</v>
      </c>
      <c r="U33" s="50" t="str">
        <f>IF(Table13232[[#This Row],[Date]]&lt;$U$4,"","Live")</f>
        <v/>
      </c>
      <c r="V33" s="45" t="str">
        <f>TEXT(Table13232[[#This Row],[Date]],"DDD")</f>
        <v>Sat</v>
      </c>
      <c r="W33" s="45" t="str">
        <f>PROPER(TRIM(Table13232[[#This Row],[Horse]]))</f>
        <v>Aldeenaary</v>
      </c>
    </row>
    <row r="34" spans="1:23" x14ac:dyDescent="0.25">
      <c r="A34" s="109">
        <v>45675</v>
      </c>
      <c r="B34" s="53">
        <v>0.57986111111111116</v>
      </c>
      <c r="C34" s="110" t="s">
        <v>10</v>
      </c>
      <c r="D34" s="111">
        <v>4</v>
      </c>
      <c r="E34" s="111">
        <v>5</v>
      </c>
      <c r="F34" s="112" t="s">
        <v>87</v>
      </c>
      <c r="G34" s="112" t="s">
        <v>22</v>
      </c>
      <c r="H34" s="113"/>
      <c r="I34" s="114" t="s">
        <v>297</v>
      </c>
      <c r="J34" s="45" t="str">
        <f>VLOOKUP(Table13232[[#This Row],[Track]],$C$836:$E$882,2,FALSE)</f>
        <v>Vic</v>
      </c>
      <c r="K34" s="55">
        <v>100</v>
      </c>
      <c r="L34" s="54" t="str">
        <f>IF(Table13232[[#This Row],[Fin]]&lt;&gt;"1st","",Table13232[[#This Row],[Div]]*Table13232[[#This Row],[Lev Bet]])</f>
        <v/>
      </c>
      <c r="M34" s="54">
        <f>IF(Table13232[[#This Row],[Lev Ret]]="",Table13232[[#This Row],[Lev Bet]]*-1,L34-K34)</f>
        <v>-100</v>
      </c>
      <c r="N34" s="135">
        <v>200</v>
      </c>
      <c r="O34" s="135" t="str">
        <f>IF(Table13232[[#This Row],[Fin]]&lt;&gt;"1st","",Table13232[[#This Row],[Div]]*Table13232[[#This Row],[Nat and Combo Bet]])</f>
        <v/>
      </c>
      <c r="P34" s="135">
        <f>IF(Table13232[[#This Row],[Lev Ret]]="",Table13232[[#This Row],[Nat and Combo Bet]]*-1,O34-N34)</f>
        <v>-200</v>
      </c>
      <c r="Q34" s="50">
        <f t="shared" si="0"/>
        <v>2</v>
      </c>
      <c r="R34" s="50">
        <f>IF(AND(Q33=2,Q34=1),"",IF(Q34=2,(N34+N35)/2,IF(Table13232[[#This Row],[Dual Listing]]=1,Table13232[[#This Row],[Nat and Combo Bet]],11)))</f>
        <v>200</v>
      </c>
      <c r="S34" s="50" t="str">
        <f t="shared" si="1"/>
        <v/>
      </c>
      <c r="T34" s="50">
        <f t="shared" si="2"/>
        <v>-200</v>
      </c>
      <c r="U34" s="50" t="str">
        <f>IF(Table13232[[#This Row],[Date]]&lt;$U$4,"","Live")</f>
        <v/>
      </c>
      <c r="V34" s="45" t="str">
        <f>TEXT(Table13232[[#This Row],[Date]],"DDD")</f>
        <v>Sat</v>
      </c>
      <c r="W34" s="45" t="str">
        <f>PROPER(TRIM(Table13232[[#This Row],[Horse]]))</f>
        <v>Samangu</v>
      </c>
    </row>
    <row r="35" spans="1:23" x14ac:dyDescent="0.25">
      <c r="A35" s="109">
        <v>45675</v>
      </c>
      <c r="B35" s="53">
        <v>0.57986111111111116</v>
      </c>
      <c r="C35" s="110" t="s">
        <v>10</v>
      </c>
      <c r="D35" s="111">
        <v>4</v>
      </c>
      <c r="E35" s="111">
        <v>5</v>
      </c>
      <c r="F35" s="112" t="s">
        <v>87</v>
      </c>
      <c r="G35" s="112" t="s">
        <v>22</v>
      </c>
      <c r="H35" s="113"/>
      <c r="I35" s="113" t="s">
        <v>298</v>
      </c>
      <c r="J35" s="45" t="str">
        <f>VLOOKUP(Table13232[[#This Row],[Track]],$C$836:$E$882,2,FALSE)</f>
        <v>Vic</v>
      </c>
      <c r="K35" s="55">
        <v>100</v>
      </c>
      <c r="L35" s="54" t="str">
        <f>IF(Table13232[[#This Row],[Fin]]&lt;&gt;"1st","",Table13232[[#This Row],[Div]]*Table13232[[#This Row],[Lev Bet]])</f>
        <v/>
      </c>
      <c r="M35" s="54">
        <f>IF(Table13232[[#This Row],[Lev Ret]]="",Table13232[[#This Row],[Lev Bet]]*-1,L35-K35)</f>
        <v>-100</v>
      </c>
      <c r="N35" s="135">
        <v>200</v>
      </c>
      <c r="O35" s="135" t="str">
        <f>IF(Table13232[[#This Row],[Fin]]&lt;&gt;"1st","",Table13232[[#This Row],[Div]]*Table13232[[#This Row],[Nat and Combo Bet]])</f>
        <v/>
      </c>
      <c r="P35" s="135">
        <f>IF(Table13232[[#This Row],[Lev Ret]]="",Table13232[[#This Row],[Nat and Combo Bet]]*-1,O35-N35)</f>
        <v>-200</v>
      </c>
      <c r="Q35" s="50">
        <f t="shared" si="0"/>
        <v>1</v>
      </c>
      <c r="R35" s="50" t="str">
        <f>IF(AND(Q34=2,Q35=1),"",IF(Q35=2,(N35+N36)/2,IF(Table13232[[#This Row],[Dual Listing]]=1,Table13232[[#This Row],[Nat and Combo Bet]],11)))</f>
        <v/>
      </c>
      <c r="S35" s="50" t="str">
        <f t="shared" si="1"/>
        <v/>
      </c>
      <c r="T35" s="50" t="str">
        <f t="shared" si="2"/>
        <v/>
      </c>
      <c r="U35" s="50" t="str">
        <f>IF(Table13232[[#This Row],[Date]]&lt;$U$4,"","Live")</f>
        <v/>
      </c>
      <c r="V35" s="45" t="str">
        <f>TEXT(Table13232[[#This Row],[Date]],"DDD")</f>
        <v>Sat</v>
      </c>
      <c r="W35" s="45" t="str">
        <f>PROPER(TRIM(Table13232[[#This Row],[Horse]]))</f>
        <v>Samangu</v>
      </c>
    </row>
    <row r="36" spans="1:23" x14ac:dyDescent="0.25">
      <c r="A36" s="43">
        <v>45675</v>
      </c>
      <c r="B36" s="44">
        <v>0.61805555555555558</v>
      </c>
      <c r="C36" s="44" t="s">
        <v>11</v>
      </c>
      <c r="D36" s="45">
        <v>5</v>
      </c>
      <c r="E36" s="45">
        <v>5</v>
      </c>
      <c r="F36" s="46" t="s">
        <v>361</v>
      </c>
      <c r="G36" s="46" t="s">
        <v>21</v>
      </c>
      <c r="H36" s="47">
        <v>5</v>
      </c>
      <c r="I36" s="52" t="s">
        <v>297</v>
      </c>
      <c r="J36" s="45" t="str">
        <f>VLOOKUP(Table13232[[#This Row],[Track]],$C$836:$E$882,2,FALSE)</f>
        <v>NSW</v>
      </c>
      <c r="K36" s="49">
        <v>100</v>
      </c>
      <c r="L36" s="45">
        <f>IF(Table13232[[#This Row],[Fin]]&lt;&gt;"1st","",Table13232[[#This Row],[Div]]*Table13232[[#This Row],[Lev Bet]])</f>
        <v>500</v>
      </c>
      <c r="M36" s="45">
        <f>IF(Table13232[[#This Row],[Lev Ret]]="",Table13232[[#This Row],[Lev Bet]]*-1,L36-K36)</f>
        <v>400</v>
      </c>
      <c r="N36" s="135">
        <v>100</v>
      </c>
      <c r="O36" s="135">
        <f>IF(Table13232[[#This Row],[Fin]]&lt;&gt;"1st","",Table13232[[#This Row],[Div]]*Table13232[[#This Row],[Nat and Combo Bet]])</f>
        <v>500</v>
      </c>
      <c r="P36" s="135">
        <f>IF(Table13232[[#This Row],[Lev Ret]]="",Table13232[[#This Row],[Nat and Combo Bet]]*-1,O36-N36)</f>
        <v>400</v>
      </c>
      <c r="Q36" s="50">
        <f t="shared" si="0"/>
        <v>1</v>
      </c>
      <c r="R36" s="50">
        <f>IF(AND(Q35=2,Q36=1),"",IF(Q36=2,(N36+N37)/2,IF(Table13232[[#This Row],[Dual Listing]]=1,Table13232[[#This Row],[Nat and Combo Bet]],11)))</f>
        <v>100</v>
      </c>
      <c r="S36" s="50">
        <f t="shared" si="1"/>
        <v>500</v>
      </c>
      <c r="T36" s="50">
        <f t="shared" si="2"/>
        <v>400</v>
      </c>
      <c r="U36" s="50" t="str">
        <f>IF(Table13232[[#This Row],[Date]]&lt;$U$4,"","Live")</f>
        <v/>
      </c>
      <c r="V36" s="45" t="str">
        <f>TEXT(Table13232[[#This Row],[Date]],"DDD")</f>
        <v>Sat</v>
      </c>
      <c r="W36" s="45" t="str">
        <f>PROPER(TRIM(Table13232[[#This Row],[Horse]]))</f>
        <v>Tajanis</v>
      </c>
    </row>
    <row r="37" spans="1:23" x14ac:dyDescent="0.25">
      <c r="A37" s="43">
        <v>45675</v>
      </c>
      <c r="B37" s="44">
        <v>0.62361111111111112</v>
      </c>
      <c r="C37" s="44" t="s">
        <v>12</v>
      </c>
      <c r="D37" s="45">
        <v>4</v>
      </c>
      <c r="E37" s="45">
        <v>11</v>
      </c>
      <c r="F37" s="46" t="s">
        <v>479</v>
      </c>
      <c r="G37" s="46"/>
      <c r="H37" s="47"/>
      <c r="I37" s="47" t="s">
        <v>298</v>
      </c>
      <c r="J37" s="45" t="str">
        <f>VLOOKUP(Table13232[[#This Row],[Track]],$C$836:$E$882,2,FALSE)</f>
        <v>Qld</v>
      </c>
      <c r="K37" s="49">
        <v>100</v>
      </c>
      <c r="L37" s="45" t="str">
        <f>IF(Table13232[[#This Row],[Fin]]&lt;&gt;"1st","",Table13232[[#This Row],[Div]]*Table13232[[#This Row],[Lev Bet]])</f>
        <v/>
      </c>
      <c r="M37" s="45">
        <f>IF(Table13232[[#This Row],[Lev Ret]]="",Table13232[[#This Row],[Lev Bet]]*-1,L37-K37)</f>
        <v>-100</v>
      </c>
      <c r="N37" s="135">
        <v>100</v>
      </c>
      <c r="O37" s="135" t="str">
        <f>IF(Table13232[[#This Row],[Fin]]&lt;&gt;"1st","",Table13232[[#This Row],[Div]]*Table13232[[#This Row],[Nat and Combo Bet]])</f>
        <v/>
      </c>
      <c r="P37" s="135">
        <f>IF(Table13232[[#This Row],[Lev Ret]]="",Table13232[[#This Row],[Nat and Combo Bet]]*-1,O37-N37)</f>
        <v>-100</v>
      </c>
      <c r="Q37" s="50">
        <f t="shared" si="0"/>
        <v>1</v>
      </c>
      <c r="R37" s="50">
        <f>IF(AND(Q36=2,Q37=1),"",IF(Q37=2,(N37+N38)/2,IF(Table13232[[#This Row],[Dual Listing]]=1,Table13232[[#This Row],[Nat and Combo Bet]],11)))</f>
        <v>100</v>
      </c>
      <c r="S37" s="50" t="str">
        <f t="shared" si="1"/>
        <v/>
      </c>
      <c r="T37" s="50">
        <f t="shared" si="2"/>
        <v>-100</v>
      </c>
      <c r="U37" s="50" t="str">
        <f>IF(Table13232[[#This Row],[Date]]&lt;$U$4,"","Live")</f>
        <v/>
      </c>
      <c r="V37" s="45" t="str">
        <f>TEXT(Table13232[[#This Row],[Date]],"DDD")</f>
        <v>Sat</v>
      </c>
      <c r="W37" s="45" t="str">
        <f>PROPER(TRIM(Table13232[[#This Row],[Horse]]))</f>
        <v>Koruto</v>
      </c>
    </row>
    <row r="38" spans="1:23" x14ac:dyDescent="0.25">
      <c r="A38" s="43">
        <v>45675</v>
      </c>
      <c r="B38" s="44">
        <v>0.62847222222222221</v>
      </c>
      <c r="C38" s="44" t="s">
        <v>10</v>
      </c>
      <c r="D38" s="45">
        <v>6</v>
      </c>
      <c r="E38" s="45">
        <v>4</v>
      </c>
      <c r="F38" s="46" t="s">
        <v>324</v>
      </c>
      <c r="G38" s="46" t="s">
        <v>21</v>
      </c>
      <c r="H38" s="47">
        <v>3.3</v>
      </c>
      <c r="I38" s="47" t="s">
        <v>298</v>
      </c>
      <c r="J38" s="45" t="str">
        <f>VLOOKUP(Table13232[[#This Row],[Track]],$C$836:$E$882,2,FALSE)</f>
        <v>Vic</v>
      </c>
      <c r="K38" s="49">
        <v>100</v>
      </c>
      <c r="L38" s="45">
        <f>IF(Table13232[[#This Row],[Fin]]&lt;&gt;"1st","",Table13232[[#This Row],[Div]]*Table13232[[#This Row],[Lev Bet]])</f>
        <v>330</v>
      </c>
      <c r="M38" s="45">
        <f>IF(Table13232[[#This Row],[Lev Ret]]="",Table13232[[#This Row],[Lev Bet]]*-1,L38-K38)</f>
        <v>230</v>
      </c>
      <c r="N38" s="135">
        <v>200</v>
      </c>
      <c r="O38" s="135">
        <f>IF(Table13232[[#This Row],[Fin]]&lt;&gt;"1st","",Table13232[[#This Row],[Div]]*Table13232[[#This Row],[Nat and Combo Bet]])</f>
        <v>660</v>
      </c>
      <c r="P38" s="135">
        <f>IF(Table13232[[#This Row],[Lev Ret]]="",Table13232[[#This Row],[Nat and Combo Bet]]*-1,O38-N38)</f>
        <v>460</v>
      </c>
      <c r="Q38" s="50">
        <f t="shared" si="0"/>
        <v>1</v>
      </c>
      <c r="R38" s="50">
        <f>IF(AND(Q37=2,Q38=1),"",IF(Q38=2,(N38+N39)/2,IF(Table13232[[#This Row],[Dual Listing]]=1,Table13232[[#This Row],[Nat and Combo Bet]],11)))</f>
        <v>200</v>
      </c>
      <c r="S38" s="50">
        <f t="shared" si="1"/>
        <v>660</v>
      </c>
      <c r="T38" s="50">
        <f t="shared" si="2"/>
        <v>460</v>
      </c>
      <c r="U38" s="50" t="str">
        <f>IF(Table13232[[#This Row],[Date]]&lt;$U$4,"","Live")</f>
        <v/>
      </c>
      <c r="V38" s="45" t="str">
        <f>TEXT(Table13232[[#This Row],[Date]],"DDD")</f>
        <v>Sat</v>
      </c>
      <c r="W38" s="45" t="str">
        <f>PROPER(TRIM(Table13232[[#This Row],[Horse]]))</f>
        <v>Major Share</v>
      </c>
    </row>
    <row r="39" spans="1:23" x14ac:dyDescent="0.25">
      <c r="A39" s="43">
        <v>45675</v>
      </c>
      <c r="B39" s="44">
        <v>0.65277777777777779</v>
      </c>
      <c r="C39" s="44" t="s">
        <v>10</v>
      </c>
      <c r="D39" s="45">
        <v>7</v>
      </c>
      <c r="E39" s="45">
        <v>4</v>
      </c>
      <c r="F39" s="46" t="s">
        <v>480</v>
      </c>
      <c r="G39" s="46"/>
      <c r="H39" s="47"/>
      <c r="I39" s="47" t="s">
        <v>298</v>
      </c>
      <c r="J39" s="45" t="str">
        <f>VLOOKUP(Table13232[[#This Row],[Track]],$C$836:$E$882,2,FALSE)</f>
        <v>Vic</v>
      </c>
      <c r="K39" s="49">
        <v>100</v>
      </c>
      <c r="L39" s="45" t="str">
        <f>IF(Table13232[[#This Row],[Fin]]&lt;&gt;"1st","",Table13232[[#This Row],[Div]]*Table13232[[#This Row],[Lev Bet]])</f>
        <v/>
      </c>
      <c r="M39" s="45">
        <f>IF(Table13232[[#This Row],[Lev Ret]]="",Table13232[[#This Row],[Lev Bet]]*-1,L39-K39)</f>
        <v>-100</v>
      </c>
      <c r="N39" s="135">
        <v>100</v>
      </c>
      <c r="O39" s="135" t="str">
        <f>IF(Table13232[[#This Row],[Fin]]&lt;&gt;"1st","",Table13232[[#This Row],[Div]]*Table13232[[#This Row],[Nat and Combo Bet]])</f>
        <v/>
      </c>
      <c r="P39" s="135">
        <f>IF(Table13232[[#This Row],[Lev Ret]]="",Table13232[[#This Row],[Nat and Combo Bet]]*-1,O39-N39)</f>
        <v>-100</v>
      </c>
      <c r="Q39" s="50">
        <f t="shared" si="0"/>
        <v>1</v>
      </c>
      <c r="R39" s="50">
        <f>IF(AND(Q38=2,Q39=1),"",IF(Q39=2,(N39+N40)/2,IF(Table13232[[#This Row],[Dual Listing]]=1,Table13232[[#This Row],[Nat and Combo Bet]],11)))</f>
        <v>100</v>
      </c>
      <c r="S39" s="50" t="str">
        <f t="shared" si="1"/>
        <v/>
      </c>
      <c r="T39" s="50">
        <f t="shared" si="2"/>
        <v>-100</v>
      </c>
      <c r="U39" s="50" t="str">
        <f>IF(Table13232[[#This Row],[Date]]&lt;$U$4,"","Live")</f>
        <v/>
      </c>
      <c r="V39" s="45" t="str">
        <f>TEXT(Table13232[[#This Row],[Date]],"DDD")</f>
        <v>Sat</v>
      </c>
      <c r="W39" s="45" t="str">
        <f>PROPER(TRIM(Table13232[[#This Row],[Horse]]))</f>
        <v>Miss Cotoletta</v>
      </c>
    </row>
    <row r="40" spans="1:23" x14ac:dyDescent="0.25">
      <c r="A40" s="43">
        <v>45675</v>
      </c>
      <c r="B40" s="44">
        <v>0.66666666666666663</v>
      </c>
      <c r="C40" s="44" t="s">
        <v>11</v>
      </c>
      <c r="D40" s="45">
        <v>7</v>
      </c>
      <c r="E40" s="45">
        <v>1</v>
      </c>
      <c r="F40" s="46" t="s">
        <v>362</v>
      </c>
      <c r="G40" s="46" t="s">
        <v>21</v>
      </c>
      <c r="H40" s="47">
        <v>3.1</v>
      </c>
      <c r="I40" s="52" t="s">
        <v>297</v>
      </c>
      <c r="J40" s="45" t="str">
        <f>VLOOKUP(Table13232[[#This Row],[Track]],$C$836:$E$882,2,FALSE)</f>
        <v>NSW</v>
      </c>
      <c r="K40" s="49">
        <v>100</v>
      </c>
      <c r="L40" s="45">
        <f>IF(Table13232[[#This Row],[Fin]]&lt;&gt;"1st","",Table13232[[#This Row],[Div]]*Table13232[[#This Row],[Lev Bet]])</f>
        <v>310</v>
      </c>
      <c r="M40" s="45">
        <f>IF(Table13232[[#This Row],[Lev Ret]]="",Table13232[[#This Row],[Lev Bet]]*-1,L40-K40)</f>
        <v>210</v>
      </c>
      <c r="N40" s="135">
        <v>200</v>
      </c>
      <c r="O40" s="135">
        <f>IF(Table13232[[#This Row],[Fin]]&lt;&gt;"1st","",Table13232[[#This Row],[Div]]*Table13232[[#This Row],[Nat and Combo Bet]])</f>
        <v>620</v>
      </c>
      <c r="P40" s="135">
        <f>IF(Table13232[[#This Row],[Lev Ret]]="",Table13232[[#This Row],[Nat and Combo Bet]]*-1,O40-N40)</f>
        <v>420</v>
      </c>
      <c r="Q40" s="50">
        <f t="shared" si="0"/>
        <v>1</v>
      </c>
      <c r="R40" s="50">
        <f>IF(AND(Q39=2,Q40=1),"",IF(Q40=2,(N40+N41)/2,IF(Table13232[[#This Row],[Dual Listing]]=1,Table13232[[#This Row],[Nat and Combo Bet]],11)))</f>
        <v>200</v>
      </c>
      <c r="S40" s="50">
        <f t="shared" si="1"/>
        <v>620</v>
      </c>
      <c r="T40" s="50">
        <f t="shared" si="2"/>
        <v>420</v>
      </c>
      <c r="U40" s="50" t="str">
        <f>IF(Table13232[[#This Row],[Date]]&lt;$U$4,"","Live")</f>
        <v/>
      </c>
      <c r="V40" s="45" t="str">
        <f>TEXT(Table13232[[#This Row],[Date]],"DDD")</f>
        <v>Sat</v>
      </c>
      <c r="W40" s="45" t="str">
        <f>PROPER(TRIM(Table13232[[#This Row],[Horse]]))</f>
        <v>Osipenko</v>
      </c>
    </row>
    <row r="41" spans="1:23" x14ac:dyDescent="0.25">
      <c r="A41" s="43">
        <v>45675</v>
      </c>
      <c r="B41" s="44">
        <v>0.69097222222222221</v>
      </c>
      <c r="C41" s="44" t="s">
        <v>11</v>
      </c>
      <c r="D41" s="45">
        <v>8</v>
      </c>
      <c r="E41" s="45">
        <v>5</v>
      </c>
      <c r="F41" s="46" t="s">
        <v>363</v>
      </c>
      <c r="G41" s="46" t="s">
        <v>22</v>
      </c>
      <c r="H41" s="47"/>
      <c r="I41" s="52" t="s">
        <v>297</v>
      </c>
      <c r="J41" s="45" t="str">
        <f>VLOOKUP(Table13232[[#This Row],[Track]],$C$836:$E$882,2,FALSE)</f>
        <v>NSW</v>
      </c>
      <c r="K41" s="49">
        <v>100</v>
      </c>
      <c r="L41" s="45" t="str">
        <f>IF(Table13232[[#This Row],[Fin]]&lt;&gt;"1st","",Table13232[[#This Row],[Div]]*Table13232[[#This Row],[Lev Bet]])</f>
        <v/>
      </c>
      <c r="M41" s="45">
        <f>IF(Table13232[[#This Row],[Lev Ret]]="",Table13232[[#This Row],[Lev Bet]]*-1,L41-K41)</f>
        <v>-100</v>
      </c>
      <c r="N41" s="135">
        <v>140</v>
      </c>
      <c r="O41" s="135" t="str">
        <f>IF(Table13232[[#This Row],[Fin]]&lt;&gt;"1st","",Table13232[[#This Row],[Div]]*Table13232[[#This Row],[Nat and Combo Bet]])</f>
        <v/>
      </c>
      <c r="P41" s="135">
        <f>IF(Table13232[[#This Row],[Lev Ret]]="",Table13232[[#This Row],[Nat and Combo Bet]]*-1,O41-N41)</f>
        <v>-140</v>
      </c>
      <c r="Q41" s="50">
        <f t="shared" si="0"/>
        <v>1</v>
      </c>
      <c r="R41" s="50">
        <f>IF(AND(Q40=2,Q41=1),"",IF(Q41=2,(N41+N42)/2,IF(Table13232[[#This Row],[Dual Listing]]=1,Table13232[[#This Row],[Nat and Combo Bet]],11)))</f>
        <v>140</v>
      </c>
      <c r="S41" s="50" t="str">
        <f t="shared" si="1"/>
        <v/>
      </c>
      <c r="T41" s="50">
        <f t="shared" si="2"/>
        <v>-140</v>
      </c>
      <c r="U41" s="50" t="str">
        <f>IF(Table13232[[#This Row],[Date]]&lt;$U$4,"","Live")</f>
        <v/>
      </c>
      <c r="V41" s="45" t="str">
        <f>TEXT(Table13232[[#This Row],[Date]],"DDD")</f>
        <v>Sat</v>
      </c>
      <c r="W41" s="45" t="str">
        <f>PROPER(TRIM(Table13232[[#This Row],[Horse]]))</f>
        <v>Cigar Flick</v>
      </c>
    </row>
    <row r="42" spans="1:23" x14ac:dyDescent="0.25">
      <c r="A42" s="43">
        <v>45675</v>
      </c>
      <c r="B42" s="44">
        <v>0.70486111111111116</v>
      </c>
      <c r="C42" s="44" t="s">
        <v>10</v>
      </c>
      <c r="D42" s="45">
        <v>9</v>
      </c>
      <c r="E42" s="45">
        <v>7</v>
      </c>
      <c r="F42" s="46" t="s">
        <v>364</v>
      </c>
      <c r="G42" s="46"/>
      <c r="H42" s="47"/>
      <c r="I42" s="52" t="s">
        <v>297</v>
      </c>
      <c r="J42" s="45" t="str">
        <f>VLOOKUP(Table13232[[#This Row],[Track]],$C$836:$E$882,2,FALSE)</f>
        <v>Vic</v>
      </c>
      <c r="K42" s="49">
        <v>100</v>
      </c>
      <c r="L42" s="45" t="str">
        <f>IF(Table13232[[#This Row],[Fin]]&lt;&gt;"1st","",Table13232[[#This Row],[Div]]*Table13232[[#This Row],[Lev Bet]])</f>
        <v/>
      </c>
      <c r="M42" s="45">
        <f>IF(Table13232[[#This Row],[Lev Ret]]="",Table13232[[#This Row],[Lev Bet]]*-1,L42-K42)</f>
        <v>-100</v>
      </c>
      <c r="N42" s="135">
        <v>50</v>
      </c>
      <c r="O42" s="135" t="str">
        <f>IF(Table13232[[#This Row],[Fin]]&lt;&gt;"1st","",Table13232[[#This Row],[Div]]*Table13232[[#This Row],[Nat and Combo Bet]])</f>
        <v/>
      </c>
      <c r="P42" s="135">
        <f>IF(Table13232[[#This Row],[Lev Ret]]="",Table13232[[#This Row],[Nat and Combo Bet]]*-1,O42-N42)</f>
        <v>-50</v>
      </c>
      <c r="Q42" s="50">
        <f t="shared" si="0"/>
        <v>1</v>
      </c>
      <c r="R42" s="50">
        <f>IF(AND(Q41=2,Q42=1),"",IF(Q42=2,(N42+N43)/2,IF(Table13232[[#This Row],[Dual Listing]]=1,Table13232[[#This Row],[Nat and Combo Bet]],11)))</f>
        <v>50</v>
      </c>
      <c r="S42" s="50" t="str">
        <f t="shared" si="1"/>
        <v/>
      </c>
      <c r="T42" s="50">
        <f t="shared" si="2"/>
        <v>-50</v>
      </c>
      <c r="U42" s="50" t="str">
        <f>IF(Table13232[[#This Row],[Date]]&lt;$U$4,"","Live")</f>
        <v/>
      </c>
      <c r="V42" s="45" t="str">
        <f>TEXT(Table13232[[#This Row],[Date]],"DDD")</f>
        <v>Sat</v>
      </c>
      <c r="W42" s="45" t="str">
        <f>PROPER(TRIM(Table13232[[#This Row],[Horse]]))</f>
        <v>Brazen Lady</v>
      </c>
    </row>
    <row r="43" spans="1:23" x14ac:dyDescent="0.25">
      <c r="A43" s="43">
        <v>45675</v>
      </c>
      <c r="B43" s="44">
        <v>0.70486111111111116</v>
      </c>
      <c r="C43" s="44" t="s">
        <v>10</v>
      </c>
      <c r="D43" s="45">
        <v>9</v>
      </c>
      <c r="E43" s="45">
        <v>8</v>
      </c>
      <c r="F43" s="46" t="s">
        <v>383</v>
      </c>
      <c r="G43" s="46" t="s">
        <v>21</v>
      </c>
      <c r="H43" s="47">
        <v>9</v>
      </c>
      <c r="I43" s="47" t="s">
        <v>298</v>
      </c>
      <c r="J43" s="45" t="str">
        <f>VLOOKUP(Table13232[[#This Row],[Track]],$C$836:$E$882,2,FALSE)</f>
        <v>Vic</v>
      </c>
      <c r="K43" s="49">
        <v>100</v>
      </c>
      <c r="L43" s="45">
        <f>IF(Table13232[[#This Row],[Fin]]&lt;&gt;"1st","",Table13232[[#This Row],[Div]]*Table13232[[#This Row],[Lev Bet]])</f>
        <v>900</v>
      </c>
      <c r="M43" s="45">
        <f>IF(Table13232[[#This Row],[Lev Ret]]="",Table13232[[#This Row],[Lev Bet]]*-1,L43-K43)</f>
        <v>800</v>
      </c>
      <c r="N43" s="135">
        <v>100</v>
      </c>
      <c r="O43" s="135">
        <f>IF(Table13232[[#This Row],[Fin]]&lt;&gt;"1st","",Table13232[[#This Row],[Div]]*Table13232[[#This Row],[Nat and Combo Bet]])</f>
        <v>900</v>
      </c>
      <c r="P43" s="135">
        <f>IF(Table13232[[#This Row],[Lev Ret]]="",Table13232[[#This Row],[Nat and Combo Bet]]*-1,O43-N43)</f>
        <v>800</v>
      </c>
      <c r="Q43" s="50">
        <f t="shared" si="0"/>
        <v>1</v>
      </c>
      <c r="R43" s="50">
        <f>IF(AND(Q42=2,Q43=1),"",IF(Q43=2,(N43+N44)/2,IF(Table13232[[#This Row],[Dual Listing]]=1,Table13232[[#This Row],[Nat and Combo Bet]],11)))</f>
        <v>100</v>
      </c>
      <c r="S43" s="50">
        <f t="shared" si="1"/>
        <v>900</v>
      </c>
      <c r="T43" s="50">
        <f t="shared" si="2"/>
        <v>800</v>
      </c>
      <c r="U43" s="50" t="str">
        <f>IF(Table13232[[#This Row],[Date]]&lt;$U$4,"","Live")</f>
        <v/>
      </c>
      <c r="V43" s="45" t="str">
        <f>TEXT(Table13232[[#This Row],[Date]],"DDD")</f>
        <v>Sat</v>
      </c>
      <c r="W43" s="45" t="str">
        <f>PROPER(TRIM(Table13232[[#This Row],[Horse]]))</f>
        <v>Is It Me</v>
      </c>
    </row>
    <row r="44" spans="1:23" x14ac:dyDescent="0.25">
      <c r="A44" s="43">
        <v>45675</v>
      </c>
      <c r="B44" s="44">
        <v>0.74652777777777779</v>
      </c>
      <c r="C44" s="44" t="s">
        <v>11</v>
      </c>
      <c r="D44" s="45">
        <v>10</v>
      </c>
      <c r="E44" s="45">
        <v>5</v>
      </c>
      <c r="F44" s="46" t="s">
        <v>96</v>
      </c>
      <c r="G44" s="46" t="s">
        <v>476</v>
      </c>
      <c r="H44" s="47"/>
      <c r="I44" s="52" t="s">
        <v>297</v>
      </c>
      <c r="J44" s="45" t="str">
        <f>VLOOKUP(Table13232[[#This Row],[Track]],$C$836:$E$882,2,FALSE)</f>
        <v>NSW</v>
      </c>
      <c r="K44" s="49">
        <v>100</v>
      </c>
      <c r="L44" s="45" t="str">
        <f>IF(Table13232[[#This Row],[Fin]]&lt;&gt;"1st","",Table13232[[#This Row],[Div]]*Table13232[[#This Row],[Lev Bet]])</f>
        <v/>
      </c>
      <c r="M44" s="45">
        <f>IF(Table13232[[#This Row],[Lev Ret]]="",Table13232[[#This Row],[Lev Bet]]*-1,L44-K44)</f>
        <v>-100</v>
      </c>
      <c r="N44" s="135">
        <v>200</v>
      </c>
      <c r="O44" s="135" t="str">
        <f>IF(Table13232[[#This Row],[Fin]]&lt;&gt;"1st","",Table13232[[#This Row],[Div]]*Table13232[[#This Row],[Nat and Combo Bet]])</f>
        <v/>
      </c>
      <c r="P44" s="135">
        <f>IF(Table13232[[#This Row],[Lev Ret]]="",Table13232[[#This Row],[Nat and Combo Bet]]*-1,O44-N44)</f>
        <v>-200</v>
      </c>
      <c r="Q44" s="50">
        <f t="shared" si="0"/>
        <v>1</v>
      </c>
      <c r="R44" s="50">
        <f>IF(AND(Q43=2,Q44=1),"",IF(Q44=2,(N44+N45)/2,IF(Table13232[[#This Row],[Dual Listing]]=1,Table13232[[#This Row],[Nat and Combo Bet]],11)))</f>
        <v>200</v>
      </c>
      <c r="S44" s="50" t="str">
        <f t="shared" si="1"/>
        <v/>
      </c>
      <c r="T44" s="50">
        <f t="shared" si="2"/>
        <v>-200</v>
      </c>
      <c r="U44" s="50" t="str">
        <f>IF(Table13232[[#This Row],[Date]]&lt;$U$4,"","Live")</f>
        <v/>
      </c>
      <c r="V44" s="45" t="str">
        <f>TEXT(Table13232[[#This Row],[Date]],"DDD")</f>
        <v>Sat</v>
      </c>
      <c r="W44" s="45" t="str">
        <f>PROPER(TRIM(Table13232[[#This Row],[Horse]]))</f>
        <v>Spring Lee</v>
      </c>
    </row>
    <row r="45" spans="1:23" x14ac:dyDescent="0.25">
      <c r="A45" s="43">
        <v>45675</v>
      </c>
      <c r="B45" s="44">
        <v>0.75347222222222221</v>
      </c>
      <c r="C45" s="44" t="s">
        <v>12</v>
      </c>
      <c r="D45" s="45">
        <v>9</v>
      </c>
      <c r="E45" s="45">
        <v>4</v>
      </c>
      <c r="F45" s="46" t="s">
        <v>481</v>
      </c>
      <c r="G45" s="46"/>
      <c r="H45" s="47"/>
      <c r="I45" s="47" t="s">
        <v>298</v>
      </c>
      <c r="J45" s="45" t="str">
        <f>VLOOKUP(Table13232[[#This Row],[Track]],$C$836:$E$882,2,FALSE)</f>
        <v>Qld</v>
      </c>
      <c r="K45" s="49">
        <v>100</v>
      </c>
      <c r="L45" s="45" t="str">
        <f>IF(Table13232[[#This Row],[Fin]]&lt;&gt;"1st","",Table13232[[#This Row],[Div]]*Table13232[[#This Row],[Lev Bet]])</f>
        <v/>
      </c>
      <c r="M45" s="45">
        <f>IF(Table13232[[#This Row],[Lev Ret]]="",Table13232[[#This Row],[Lev Bet]]*-1,L45-K45)</f>
        <v>-100</v>
      </c>
      <c r="N45" s="135">
        <v>100</v>
      </c>
      <c r="O45" s="135" t="str">
        <f>IF(Table13232[[#This Row],[Fin]]&lt;&gt;"1st","",Table13232[[#This Row],[Div]]*Table13232[[#This Row],[Nat and Combo Bet]])</f>
        <v/>
      </c>
      <c r="P45" s="135">
        <f>IF(Table13232[[#This Row],[Lev Ret]]="",Table13232[[#This Row],[Nat and Combo Bet]]*-1,O45-N45)</f>
        <v>-100</v>
      </c>
      <c r="Q45" s="50">
        <f t="shared" si="0"/>
        <v>1</v>
      </c>
      <c r="R45" s="50">
        <f>IF(AND(Q44=2,Q45=1),"",IF(Q45=2,(N45+N46)/2,IF(Table13232[[#This Row],[Dual Listing]]=1,Table13232[[#This Row],[Nat and Combo Bet]],11)))</f>
        <v>100</v>
      </c>
      <c r="S45" s="50" t="str">
        <f t="shared" si="1"/>
        <v/>
      </c>
      <c r="T45" s="50">
        <f t="shared" si="2"/>
        <v>-100</v>
      </c>
      <c r="U45" s="50" t="str">
        <f>IF(Table13232[[#This Row],[Date]]&lt;$U$4,"","Live")</f>
        <v/>
      </c>
      <c r="V45" s="45" t="str">
        <f>TEXT(Table13232[[#This Row],[Date]],"DDD")</f>
        <v>Sat</v>
      </c>
      <c r="W45" s="45" t="str">
        <f>PROPER(TRIM(Table13232[[#This Row],[Horse]]))</f>
        <v>Battlefield</v>
      </c>
    </row>
    <row r="46" spans="1:23" x14ac:dyDescent="0.25">
      <c r="A46" s="43">
        <v>45682</v>
      </c>
      <c r="B46" s="44">
        <v>0.60416666666666663</v>
      </c>
      <c r="C46" s="44" t="s">
        <v>16</v>
      </c>
      <c r="D46" s="45">
        <v>5</v>
      </c>
      <c r="E46" s="45">
        <v>6</v>
      </c>
      <c r="F46" s="46" t="s">
        <v>83</v>
      </c>
      <c r="G46" s="46"/>
      <c r="H46" s="47"/>
      <c r="I46" s="52" t="s">
        <v>297</v>
      </c>
      <c r="J46" s="45" t="str">
        <f>VLOOKUP(Table13232[[#This Row],[Track]],$C$836:$E$882,2,FALSE)</f>
        <v>Vic</v>
      </c>
      <c r="K46" s="49">
        <v>100</v>
      </c>
      <c r="L46" s="45" t="str">
        <f>IF(Table13232[[#This Row],[Fin]]&lt;&gt;"1st","",Table13232[[#This Row],[Div]]*Table13232[[#This Row],[Lev Bet]])</f>
        <v/>
      </c>
      <c r="M46" s="45">
        <f>IF(Table13232[[#This Row],[Lev Ret]]="",Table13232[[#This Row],[Lev Bet]]*-1,L46-K46)</f>
        <v>-100</v>
      </c>
      <c r="N46" s="135">
        <v>160</v>
      </c>
      <c r="O46" s="135" t="str">
        <f>IF(Table13232[[#This Row],[Fin]]&lt;&gt;"1st","",Table13232[[#This Row],[Div]]*Table13232[[#This Row],[Nat and Combo Bet]])</f>
        <v/>
      </c>
      <c r="P46" s="135">
        <f>IF(Table13232[[#This Row],[Lev Ret]]="",Table13232[[#This Row],[Nat and Combo Bet]]*-1,O46-N46)</f>
        <v>-160</v>
      </c>
      <c r="Q46" s="50">
        <f t="shared" si="0"/>
        <v>1</v>
      </c>
      <c r="R46" s="50">
        <f>IF(AND(Q45=2,Q46=1),"",IF(Q46=2,(N46+N47)/2,IF(Table13232[[#This Row],[Dual Listing]]=1,Table13232[[#This Row],[Nat and Combo Bet]],11)))</f>
        <v>160</v>
      </c>
      <c r="S46" s="50" t="str">
        <f t="shared" si="1"/>
        <v/>
      </c>
      <c r="T46" s="50">
        <f t="shared" si="2"/>
        <v>-160</v>
      </c>
      <c r="U46" s="50" t="str">
        <f>IF(Table13232[[#This Row],[Date]]&lt;$U$4,"","Live")</f>
        <v/>
      </c>
      <c r="V46" s="45" t="str">
        <f>TEXT(Table13232[[#This Row],[Date]],"DDD")</f>
        <v>Sat</v>
      </c>
      <c r="W46" s="45" t="str">
        <f>PROPER(TRIM(Table13232[[#This Row],[Horse]]))</f>
        <v>Fickle</v>
      </c>
    </row>
    <row r="47" spans="1:23" x14ac:dyDescent="0.25">
      <c r="A47" s="43">
        <v>45682</v>
      </c>
      <c r="B47" s="44">
        <v>0.60416666666666663</v>
      </c>
      <c r="C47" s="44" t="s">
        <v>16</v>
      </c>
      <c r="D47" s="45">
        <v>5</v>
      </c>
      <c r="E47" s="45">
        <v>2</v>
      </c>
      <c r="F47" s="46" t="s">
        <v>58</v>
      </c>
      <c r="G47" s="46"/>
      <c r="H47" s="47"/>
      <c r="I47" s="52" t="s">
        <v>297</v>
      </c>
      <c r="J47" s="45" t="str">
        <f>VLOOKUP(Table13232[[#This Row],[Track]],$C$836:$E$882,2,FALSE)</f>
        <v>Vic</v>
      </c>
      <c r="K47" s="49">
        <v>100</v>
      </c>
      <c r="L47" s="45" t="str">
        <f>IF(Table13232[[#This Row],[Fin]]&lt;&gt;"1st","",Table13232[[#This Row],[Div]]*Table13232[[#This Row],[Lev Bet]])</f>
        <v/>
      </c>
      <c r="M47" s="45">
        <f>IF(Table13232[[#This Row],[Lev Ret]]="",Table13232[[#This Row],[Lev Bet]]*-1,L47-K47)</f>
        <v>-100</v>
      </c>
      <c r="N47" s="135">
        <v>100</v>
      </c>
      <c r="O47" s="135" t="str">
        <f>IF(Table13232[[#This Row],[Fin]]&lt;&gt;"1st","",Table13232[[#This Row],[Div]]*Table13232[[#This Row],[Nat and Combo Bet]])</f>
        <v/>
      </c>
      <c r="P47" s="135">
        <f>IF(Table13232[[#This Row],[Lev Ret]]="",Table13232[[#This Row],[Nat and Combo Bet]]*-1,O47-N47)</f>
        <v>-100</v>
      </c>
      <c r="Q47" s="50">
        <f t="shared" si="0"/>
        <v>1</v>
      </c>
      <c r="R47" s="50">
        <f>IF(AND(Q46=2,Q47=1),"",IF(Q47=2,(N47+N48)/2,IF(Table13232[[#This Row],[Dual Listing]]=1,Table13232[[#This Row],[Nat and Combo Bet]],11)))</f>
        <v>100</v>
      </c>
      <c r="S47" s="50" t="str">
        <f t="shared" si="1"/>
        <v/>
      </c>
      <c r="T47" s="50">
        <f t="shared" si="2"/>
        <v>-100</v>
      </c>
      <c r="U47" s="50" t="str">
        <f>IF(Table13232[[#This Row],[Date]]&lt;$U$4,"","Live")</f>
        <v/>
      </c>
      <c r="V47" s="45" t="str">
        <f>TEXT(Table13232[[#This Row],[Date]],"DDD")</f>
        <v>Sat</v>
      </c>
      <c r="W47" s="45" t="str">
        <f>PROPER(TRIM(Table13232[[#This Row],[Horse]]))</f>
        <v>Mrs Chrissie</v>
      </c>
    </row>
    <row r="48" spans="1:23" x14ac:dyDescent="0.25">
      <c r="A48" s="43">
        <v>45682</v>
      </c>
      <c r="B48" s="44">
        <v>0.62847222222222221</v>
      </c>
      <c r="C48" s="44" t="s">
        <v>16</v>
      </c>
      <c r="D48" s="45">
        <v>6</v>
      </c>
      <c r="E48" s="45">
        <v>8</v>
      </c>
      <c r="F48" s="46" t="s">
        <v>366</v>
      </c>
      <c r="G48" s="46" t="s">
        <v>21</v>
      </c>
      <c r="H48" s="47">
        <v>4.5999999999999996</v>
      </c>
      <c r="I48" s="52" t="s">
        <v>297</v>
      </c>
      <c r="J48" s="45" t="str">
        <f>VLOOKUP(Table13232[[#This Row],[Track]],$C$836:$E$882,2,FALSE)</f>
        <v>Vic</v>
      </c>
      <c r="K48" s="49">
        <v>100</v>
      </c>
      <c r="L48" s="45">
        <f>IF(Table13232[[#This Row],[Fin]]&lt;&gt;"1st","",Table13232[[#This Row],[Div]]*Table13232[[#This Row],[Lev Bet]])</f>
        <v>459.99999999999994</v>
      </c>
      <c r="M48" s="45">
        <f>IF(Table13232[[#This Row],[Lev Ret]]="",Table13232[[#This Row],[Lev Bet]]*-1,L48-K48)</f>
        <v>359.99999999999994</v>
      </c>
      <c r="N48" s="135">
        <v>100</v>
      </c>
      <c r="O48" s="135">
        <f>IF(Table13232[[#This Row],[Fin]]&lt;&gt;"1st","",Table13232[[#This Row],[Div]]*Table13232[[#This Row],[Nat and Combo Bet]])</f>
        <v>459.99999999999994</v>
      </c>
      <c r="P48" s="135">
        <f>IF(Table13232[[#This Row],[Lev Ret]]="",Table13232[[#This Row],[Nat and Combo Bet]]*-1,O48-N48)</f>
        <v>359.99999999999994</v>
      </c>
      <c r="Q48" s="50">
        <f t="shared" si="0"/>
        <v>1</v>
      </c>
      <c r="R48" s="50">
        <f>IF(AND(Q47=2,Q48=1),"",IF(Q48=2,(N48+N49)/2,IF(Table13232[[#This Row],[Dual Listing]]=1,Table13232[[#This Row],[Nat and Combo Bet]],11)))</f>
        <v>100</v>
      </c>
      <c r="S48" s="50">
        <f t="shared" si="1"/>
        <v>459.99999999999994</v>
      </c>
      <c r="T48" s="50">
        <f t="shared" si="2"/>
        <v>359.99999999999994</v>
      </c>
      <c r="U48" s="50" t="str">
        <f>IF(Table13232[[#This Row],[Date]]&lt;$U$4,"","Live")</f>
        <v/>
      </c>
      <c r="V48" s="45" t="str">
        <f>TEXT(Table13232[[#This Row],[Date]],"DDD")</f>
        <v>Sat</v>
      </c>
      <c r="W48" s="45" t="str">
        <f>PROPER(TRIM(Table13232[[#This Row],[Horse]]))</f>
        <v>Kings Valley</v>
      </c>
    </row>
    <row r="49" spans="1:23" x14ac:dyDescent="0.25">
      <c r="A49" s="43">
        <v>45682</v>
      </c>
      <c r="B49" s="44">
        <v>0.62847222222222221</v>
      </c>
      <c r="C49" s="44" t="s">
        <v>16</v>
      </c>
      <c r="D49" s="45">
        <v>6</v>
      </c>
      <c r="E49" s="45">
        <v>3</v>
      </c>
      <c r="F49" s="46" t="s">
        <v>365</v>
      </c>
      <c r="G49" s="46" t="s">
        <v>22</v>
      </c>
      <c r="H49" s="47"/>
      <c r="I49" s="52" t="s">
        <v>297</v>
      </c>
      <c r="J49" s="45" t="str">
        <f>VLOOKUP(Table13232[[#This Row],[Track]],$C$836:$E$882,2,FALSE)</f>
        <v>Vic</v>
      </c>
      <c r="K49" s="49">
        <v>100</v>
      </c>
      <c r="L49" s="45" t="str">
        <f>IF(Table13232[[#This Row],[Fin]]&lt;&gt;"1st","",Table13232[[#This Row],[Div]]*Table13232[[#This Row],[Lev Bet]])</f>
        <v/>
      </c>
      <c r="M49" s="45">
        <f>IF(Table13232[[#This Row],[Lev Ret]]="",Table13232[[#This Row],[Lev Bet]]*-1,L49-K49)</f>
        <v>-100</v>
      </c>
      <c r="N49" s="135">
        <v>150</v>
      </c>
      <c r="O49" s="135" t="str">
        <f>IF(Table13232[[#This Row],[Fin]]&lt;&gt;"1st","",Table13232[[#This Row],[Div]]*Table13232[[#This Row],[Nat and Combo Bet]])</f>
        <v/>
      </c>
      <c r="P49" s="135">
        <f>IF(Table13232[[#This Row],[Lev Ret]]="",Table13232[[#This Row],[Nat and Combo Bet]]*-1,O49-N49)</f>
        <v>-150</v>
      </c>
      <c r="Q49" s="50">
        <f t="shared" si="0"/>
        <v>1</v>
      </c>
      <c r="R49" s="50">
        <f>IF(AND(Q48=2,Q49=1),"",IF(Q49=2,(N49+N50)/2,IF(Table13232[[#This Row],[Dual Listing]]=1,Table13232[[#This Row],[Nat and Combo Bet]],11)))</f>
        <v>150</v>
      </c>
      <c r="S49" s="50" t="str">
        <f t="shared" si="1"/>
        <v/>
      </c>
      <c r="T49" s="50">
        <f t="shared" si="2"/>
        <v>-150</v>
      </c>
      <c r="U49" s="50" t="str">
        <f>IF(Table13232[[#This Row],[Date]]&lt;$U$4,"","Live")</f>
        <v/>
      </c>
      <c r="V49" s="45" t="str">
        <f>TEXT(Table13232[[#This Row],[Date]],"DDD")</f>
        <v>Sat</v>
      </c>
      <c r="W49" s="45" t="str">
        <f>PROPER(TRIM(Table13232[[#This Row],[Horse]]))</f>
        <v>Miss Tarzy</v>
      </c>
    </row>
    <row r="50" spans="1:23" x14ac:dyDescent="0.25">
      <c r="A50" s="43">
        <v>45682</v>
      </c>
      <c r="B50" s="44">
        <v>0.65277777777777779</v>
      </c>
      <c r="C50" s="44" t="s">
        <v>16</v>
      </c>
      <c r="D50" s="45">
        <v>7</v>
      </c>
      <c r="E50" s="45">
        <v>5</v>
      </c>
      <c r="F50" s="46" t="s">
        <v>60</v>
      </c>
      <c r="G50" s="46" t="s">
        <v>22</v>
      </c>
      <c r="H50" s="47"/>
      <c r="I50" s="52" t="s">
        <v>297</v>
      </c>
      <c r="J50" s="45" t="str">
        <f>VLOOKUP(Table13232[[#This Row],[Track]],$C$836:$E$882,2,FALSE)</f>
        <v>Vic</v>
      </c>
      <c r="K50" s="49">
        <v>100</v>
      </c>
      <c r="L50" s="45" t="str">
        <f>IF(Table13232[[#This Row],[Fin]]&lt;&gt;"1st","",Table13232[[#This Row],[Div]]*Table13232[[#This Row],[Lev Bet]])</f>
        <v/>
      </c>
      <c r="M50" s="45">
        <f>IF(Table13232[[#This Row],[Lev Ret]]="",Table13232[[#This Row],[Lev Bet]]*-1,L50-K50)</f>
        <v>-100</v>
      </c>
      <c r="N50" s="135">
        <v>150</v>
      </c>
      <c r="O50" s="135" t="str">
        <f>IF(Table13232[[#This Row],[Fin]]&lt;&gt;"1st","",Table13232[[#This Row],[Div]]*Table13232[[#This Row],[Nat and Combo Bet]])</f>
        <v/>
      </c>
      <c r="P50" s="135">
        <f>IF(Table13232[[#This Row],[Lev Ret]]="",Table13232[[#This Row],[Nat and Combo Bet]]*-1,O50-N50)</f>
        <v>-150</v>
      </c>
      <c r="Q50" s="50">
        <f t="shared" si="0"/>
        <v>1</v>
      </c>
      <c r="R50" s="50">
        <f>IF(AND(Q49=2,Q50=1),"",IF(Q50=2,(N50+N51)/2,IF(Table13232[[#This Row],[Dual Listing]]=1,Table13232[[#This Row],[Nat and Combo Bet]],11)))</f>
        <v>150</v>
      </c>
      <c r="S50" s="50" t="str">
        <f t="shared" si="1"/>
        <v/>
      </c>
      <c r="T50" s="50">
        <f t="shared" si="2"/>
        <v>-150</v>
      </c>
      <c r="U50" s="50" t="str">
        <f>IF(Table13232[[#This Row],[Date]]&lt;$U$4,"","Live")</f>
        <v/>
      </c>
      <c r="V50" s="45" t="str">
        <f>TEXT(Table13232[[#This Row],[Date]],"DDD")</f>
        <v>Sat</v>
      </c>
      <c r="W50" s="45" t="str">
        <f>PROPER(TRIM(Table13232[[#This Row],[Horse]]))</f>
        <v>Le Zebra</v>
      </c>
    </row>
    <row r="51" spans="1:23" x14ac:dyDescent="0.25">
      <c r="A51" s="43">
        <v>45682</v>
      </c>
      <c r="B51" s="44">
        <v>0.65277777777777779</v>
      </c>
      <c r="C51" s="44" t="s">
        <v>16</v>
      </c>
      <c r="D51" s="45">
        <v>7</v>
      </c>
      <c r="E51" s="45">
        <v>4</v>
      </c>
      <c r="F51" s="46" t="s">
        <v>354</v>
      </c>
      <c r="G51" s="46" t="s">
        <v>21</v>
      </c>
      <c r="H51" s="47">
        <v>3.7</v>
      </c>
      <c r="I51" s="52" t="s">
        <v>297</v>
      </c>
      <c r="J51" s="45" t="str">
        <f>VLOOKUP(Table13232[[#This Row],[Track]],$C$836:$E$882,2,FALSE)</f>
        <v>Vic</v>
      </c>
      <c r="K51" s="49">
        <v>100</v>
      </c>
      <c r="L51" s="45">
        <f>IF(Table13232[[#This Row],[Fin]]&lt;&gt;"1st","",Table13232[[#This Row],[Div]]*Table13232[[#This Row],[Lev Bet]])</f>
        <v>370</v>
      </c>
      <c r="M51" s="45">
        <f>IF(Table13232[[#This Row],[Lev Ret]]="",Table13232[[#This Row],[Lev Bet]]*-1,L51-K51)</f>
        <v>270</v>
      </c>
      <c r="N51" s="135">
        <v>100</v>
      </c>
      <c r="O51" s="135">
        <f>IF(Table13232[[#This Row],[Fin]]&lt;&gt;"1st","",Table13232[[#This Row],[Div]]*Table13232[[#This Row],[Nat and Combo Bet]])</f>
        <v>370</v>
      </c>
      <c r="P51" s="135">
        <f>IF(Table13232[[#This Row],[Lev Ret]]="",Table13232[[#This Row],[Nat and Combo Bet]]*-1,O51-N51)</f>
        <v>270</v>
      </c>
      <c r="Q51" s="50">
        <f t="shared" si="0"/>
        <v>1</v>
      </c>
      <c r="R51" s="50">
        <f>IF(AND(Q50=2,Q51=1),"",IF(Q51=2,(N51+N52)/2,IF(Table13232[[#This Row],[Dual Listing]]=1,Table13232[[#This Row],[Nat and Combo Bet]],11)))</f>
        <v>100</v>
      </c>
      <c r="S51" s="50">
        <f t="shared" si="1"/>
        <v>370</v>
      </c>
      <c r="T51" s="50">
        <f t="shared" si="2"/>
        <v>270</v>
      </c>
      <c r="U51" s="50" t="str">
        <f>IF(Table13232[[#This Row],[Date]]&lt;$U$4,"","Live")</f>
        <v/>
      </c>
      <c r="V51" s="45" t="str">
        <f>TEXT(Table13232[[#This Row],[Date]],"DDD")</f>
        <v>Sat</v>
      </c>
      <c r="W51" s="45" t="str">
        <f>PROPER(TRIM(Table13232[[#This Row],[Horse]]))</f>
        <v>Smokin' Princess</v>
      </c>
    </row>
    <row r="52" spans="1:23" x14ac:dyDescent="0.25">
      <c r="A52" s="43">
        <v>45682</v>
      </c>
      <c r="B52" s="44">
        <v>0.67708333333333337</v>
      </c>
      <c r="C52" s="44" t="s">
        <v>16</v>
      </c>
      <c r="D52" s="45">
        <v>8</v>
      </c>
      <c r="E52" s="45">
        <v>2</v>
      </c>
      <c r="F52" s="46" t="s">
        <v>367</v>
      </c>
      <c r="G52" s="46"/>
      <c r="H52" s="47"/>
      <c r="I52" s="52" t="s">
        <v>297</v>
      </c>
      <c r="J52" s="45" t="str">
        <f>VLOOKUP(Table13232[[#This Row],[Track]],$C$836:$E$882,2,FALSE)</f>
        <v>Vic</v>
      </c>
      <c r="K52" s="49">
        <v>100</v>
      </c>
      <c r="L52" s="45" t="str">
        <f>IF(Table13232[[#This Row],[Fin]]&lt;&gt;"1st","",Table13232[[#This Row],[Div]]*Table13232[[#This Row],[Lev Bet]])</f>
        <v/>
      </c>
      <c r="M52" s="45">
        <f>IF(Table13232[[#This Row],[Lev Ret]]="",Table13232[[#This Row],[Lev Bet]]*-1,L52-K52)</f>
        <v>-100</v>
      </c>
      <c r="N52" s="135">
        <v>100</v>
      </c>
      <c r="O52" s="135" t="str">
        <f>IF(Table13232[[#This Row],[Fin]]&lt;&gt;"1st","",Table13232[[#This Row],[Div]]*Table13232[[#This Row],[Nat and Combo Bet]])</f>
        <v/>
      </c>
      <c r="P52" s="135">
        <f>IF(Table13232[[#This Row],[Lev Ret]]="",Table13232[[#This Row],[Nat and Combo Bet]]*-1,O52-N52)</f>
        <v>-100</v>
      </c>
      <c r="Q52" s="50">
        <f t="shared" si="0"/>
        <v>1</v>
      </c>
      <c r="R52" s="50">
        <f>IF(AND(Q51=2,Q52=1),"",IF(Q52=2,(N52+N53)/2,IF(Table13232[[#This Row],[Dual Listing]]=1,Table13232[[#This Row],[Nat and Combo Bet]],11)))</f>
        <v>100</v>
      </c>
      <c r="S52" s="50" t="str">
        <f t="shared" si="1"/>
        <v/>
      </c>
      <c r="T52" s="50">
        <f t="shared" si="2"/>
        <v>-100</v>
      </c>
      <c r="U52" s="50" t="str">
        <f>IF(Table13232[[#This Row],[Date]]&lt;$U$4,"","Live")</f>
        <v/>
      </c>
      <c r="V52" s="45" t="str">
        <f>TEXT(Table13232[[#This Row],[Date]],"DDD")</f>
        <v>Sat</v>
      </c>
      <c r="W52" s="45" t="str">
        <f>PROPER(TRIM(Table13232[[#This Row],[Horse]]))</f>
        <v>Aztec Ruler</v>
      </c>
    </row>
    <row r="53" spans="1:23" x14ac:dyDescent="0.25">
      <c r="A53" s="43">
        <v>45682</v>
      </c>
      <c r="B53" s="44">
        <v>0.67708333333333337</v>
      </c>
      <c r="C53" s="44" t="s">
        <v>16</v>
      </c>
      <c r="D53" s="45">
        <v>8</v>
      </c>
      <c r="E53" s="45">
        <v>4</v>
      </c>
      <c r="F53" s="46" t="s">
        <v>380</v>
      </c>
      <c r="G53" s="46" t="s">
        <v>23</v>
      </c>
      <c r="H53" s="47"/>
      <c r="I53" s="47" t="s">
        <v>298</v>
      </c>
      <c r="J53" s="45" t="str">
        <f>VLOOKUP(Table13232[[#This Row],[Track]],$C$836:$E$882,2,FALSE)</f>
        <v>Vic</v>
      </c>
      <c r="K53" s="49">
        <v>100</v>
      </c>
      <c r="L53" s="45" t="str">
        <f>IF(Table13232[[#This Row],[Fin]]&lt;&gt;"1st","",Table13232[[#This Row],[Div]]*Table13232[[#This Row],[Lev Bet]])</f>
        <v/>
      </c>
      <c r="M53" s="45">
        <f>IF(Table13232[[#This Row],[Lev Ret]]="",Table13232[[#This Row],[Lev Bet]]*-1,L53-K53)</f>
        <v>-100</v>
      </c>
      <c r="N53" s="135">
        <v>100</v>
      </c>
      <c r="O53" s="135" t="str">
        <f>IF(Table13232[[#This Row],[Fin]]&lt;&gt;"1st","",Table13232[[#This Row],[Div]]*Table13232[[#This Row],[Nat and Combo Bet]])</f>
        <v/>
      </c>
      <c r="P53" s="135">
        <f>IF(Table13232[[#This Row],[Lev Ret]]="",Table13232[[#This Row],[Nat and Combo Bet]]*-1,O53-N53)</f>
        <v>-100</v>
      </c>
      <c r="Q53" s="50">
        <f t="shared" si="0"/>
        <v>1</v>
      </c>
      <c r="R53" s="50">
        <f>IF(AND(Q52=2,Q53=1),"",IF(Q53=2,(N53+N54)/2,IF(Table13232[[#This Row],[Dual Listing]]=1,Table13232[[#This Row],[Nat and Combo Bet]],11)))</f>
        <v>100</v>
      </c>
      <c r="S53" s="50" t="str">
        <f t="shared" si="1"/>
        <v/>
      </c>
      <c r="T53" s="50">
        <f t="shared" si="2"/>
        <v>-100</v>
      </c>
      <c r="U53" s="50" t="str">
        <f>IF(Table13232[[#This Row],[Date]]&lt;$U$4,"","Live")</f>
        <v/>
      </c>
      <c r="V53" s="45" t="str">
        <f>TEXT(Table13232[[#This Row],[Date]],"DDD")</f>
        <v>Sat</v>
      </c>
      <c r="W53" s="45" t="str">
        <f>PROPER(TRIM(Table13232[[#This Row],[Horse]]))</f>
        <v>Chorlton Lane</v>
      </c>
    </row>
    <row r="54" spans="1:23" x14ac:dyDescent="0.25">
      <c r="A54" s="43">
        <v>45682</v>
      </c>
      <c r="B54" s="44">
        <v>0.71875</v>
      </c>
      <c r="C54" s="44" t="s">
        <v>13</v>
      </c>
      <c r="D54" s="45">
        <v>8</v>
      </c>
      <c r="E54" s="45">
        <v>3</v>
      </c>
      <c r="F54" s="46" t="s">
        <v>182</v>
      </c>
      <c r="G54" s="46" t="s">
        <v>21</v>
      </c>
      <c r="H54" s="47">
        <v>3</v>
      </c>
      <c r="I54" s="52" t="s">
        <v>297</v>
      </c>
      <c r="J54" s="45" t="str">
        <f>VLOOKUP(Table13232[[#This Row],[Track]],$C$836:$E$882,2,FALSE)</f>
        <v>NSW</v>
      </c>
      <c r="K54" s="49">
        <v>100</v>
      </c>
      <c r="L54" s="45">
        <f>IF(Table13232[[#This Row],[Fin]]&lt;&gt;"1st","",Table13232[[#This Row],[Div]]*Table13232[[#This Row],[Lev Bet]])</f>
        <v>300</v>
      </c>
      <c r="M54" s="45">
        <f>IF(Table13232[[#This Row],[Lev Ret]]="",Table13232[[#This Row],[Lev Bet]]*-1,L54-K54)</f>
        <v>200</v>
      </c>
      <c r="N54" s="135">
        <v>150</v>
      </c>
      <c r="O54" s="135">
        <f>IF(Table13232[[#This Row],[Fin]]&lt;&gt;"1st","",Table13232[[#This Row],[Div]]*Table13232[[#This Row],[Nat and Combo Bet]])</f>
        <v>450</v>
      </c>
      <c r="P54" s="135">
        <f>IF(Table13232[[#This Row],[Lev Ret]]="",Table13232[[#This Row],[Nat and Combo Bet]]*-1,O54-N54)</f>
        <v>300</v>
      </c>
      <c r="Q54" s="50">
        <f t="shared" si="0"/>
        <v>1</v>
      </c>
      <c r="R54" s="50">
        <f>IF(AND(Q53=2,Q54=1),"",IF(Q54=2,(N54+N55)/2,IF(Table13232[[#This Row],[Dual Listing]]=1,Table13232[[#This Row],[Nat and Combo Bet]],11)))</f>
        <v>150</v>
      </c>
      <c r="S54" s="50">
        <f t="shared" si="1"/>
        <v>450</v>
      </c>
      <c r="T54" s="50">
        <f t="shared" si="2"/>
        <v>300</v>
      </c>
      <c r="U54" s="50" t="str">
        <f>IF(Table13232[[#This Row],[Date]]&lt;$U$4,"","Live")</f>
        <v/>
      </c>
      <c r="V54" s="45" t="str">
        <f>TEXT(Table13232[[#This Row],[Date]],"DDD")</f>
        <v>Sat</v>
      </c>
      <c r="W54" s="45" t="str">
        <f>PROPER(TRIM(Table13232[[#This Row],[Horse]]))</f>
        <v>Headley Grange</v>
      </c>
    </row>
    <row r="55" spans="1:23" x14ac:dyDescent="0.25">
      <c r="A55" s="109">
        <v>45682</v>
      </c>
      <c r="B55" s="53">
        <v>0.73263888888888884</v>
      </c>
      <c r="C55" s="110" t="s">
        <v>16</v>
      </c>
      <c r="D55" s="111">
        <v>10</v>
      </c>
      <c r="E55" s="111">
        <v>8</v>
      </c>
      <c r="F55" s="112" t="s">
        <v>368</v>
      </c>
      <c r="G55" s="112" t="s">
        <v>21</v>
      </c>
      <c r="H55" s="113">
        <v>3.3</v>
      </c>
      <c r="I55" s="114" t="s">
        <v>297</v>
      </c>
      <c r="J55" s="45" t="str">
        <f>VLOOKUP(Table13232[[#This Row],[Track]],$C$836:$E$882,2,FALSE)</f>
        <v>Vic</v>
      </c>
      <c r="K55" s="55">
        <v>100</v>
      </c>
      <c r="L55" s="54">
        <f>IF(Table13232[[#This Row],[Fin]]&lt;&gt;"1st","",Table13232[[#This Row],[Div]]*Table13232[[#This Row],[Lev Bet]])</f>
        <v>330</v>
      </c>
      <c r="M55" s="54">
        <f>IF(Table13232[[#This Row],[Lev Ret]]="",Table13232[[#This Row],[Lev Bet]]*-1,L55-K55)</f>
        <v>230</v>
      </c>
      <c r="N55" s="135">
        <v>150</v>
      </c>
      <c r="O55" s="135">
        <f>IF(Table13232[[#This Row],[Fin]]&lt;&gt;"1st","",Table13232[[#This Row],[Div]]*Table13232[[#This Row],[Nat and Combo Bet]])</f>
        <v>495</v>
      </c>
      <c r="P55" s="135">
        <f>IF(Table13232[[#This Row],[Lev Ret]]="",Table13232[[#This Row],[Nat and Combo Bet]]*-1,O55-N55)</f>
        <v>345</v>
      </c>
      <c r="Q55" s="50">
        <f t="shared" si="0"/>
        <v>2</v>
      </c>
      <c r="R55" s="50">
        <f>IF(AND(Q54=2,Q55=1),"",IF(Q55=2,(N55+N56)/2,IF(Table13232[[#This Row],[Dual Listing]]=1,Table13232[[#This Row],[Nat and Combo Bet]],11)))</f>
        <v>125</v>
      </c>
      <c r="S55" s="50">
        <f t="shared" si="1"/>
        <v>412.5</v>
      </c>
      <c r="T55" s="50">
        <f t="shared" si="2"/>
        <v>287.5</v>
      </c>
      <c r="U55" s="50" t="str">
        <f>IF(Table13232[[#This Row],[Date]]&lt;$U$4,"","Live")</f>
        <v/>
      </c>
      <c r="V55" s="45" t="str">
        <f>TEXT(Table13232[[#This Row],[Date]],"DDD")</f>
        <v>Sat</v>
      </c>
      <c r="W55" s="45" t="str">
        <f>PROPER(TRIM(Table13232[[#This Row],[Horse]]))</f>
        <v>Sunshineinmypocket</v>
      </c>
    </row>
    <row r="56" spans="1:23" x14ac:dyDescent="0.25">
      <c r="A56" s="109">
        <v>45682</v>
      </c>
      <c r="B56" s="53">
        <v>0.73263888888888884</v>
      </c>
      <c r="C56" s="110" t="s">
        <v>16</v>
      </c>
      <c r="D56" s="111">
        <v>10</v>
      </c>
      <c r="E56" s="111">
        <v>8</v>
      </c>
      <c r="F56" s="112" t="s">
        <v>368</v>
      </c>
      <c r="G56" s="112" t="s">
        <v>21</v>
      </c>
      <c r="H56" s="113">
        <v>3.3</v>
      </c>
      <c r="I56" s="113" t="s">
        <v>298</v>
      </c>
      <c r="J56" s="45" t="str">
        <f>VLOOKUP(Table13232[[#This Row],[Track]],$C$836:$E$882,2,FALSE)</f>
        <v>Vic</v>
      </c>
      <c r="K56" s="55">
        <v>100</v>
      </c>
      <c r="L56" s="54">
        <f>IF(Table13232[[#This Row],[Fin]]&lt;&gt;"1st","",Table13232[[#This Row],[Div]]*Table13232[[#This Row],[Lev Bet]])</f>
        <v>330</v>
      </c>
      <c r="M56" s="54">
        <f>IF(Table13232[[#This Row],[Lev Ret]]="",Table13232[[#This Row],[Lev Bet]]*-1,L56-K56)</f>
        <v>230</v>
      </c>
      <c r="N56" s="135">
        <v>100</v>
      </c>
      <c r="O56" s="135">
        <f>IF(Table13232[[#This Row],[Fin]]&lt;&gt;"1st","",Table13232[[#This Row],[Div]]*Table13232[[#This Row],[Nat and Combo Bet]])</f>
        <v>330</v>
      </c>
      <c r="P56" s="135">
        <f>IF(Table13232[[#This Row],[Lev Ret]]="",Table13232[[#This Row],[Nat and Combo Bet]]*-1,O56-N56)</f>
        <v>230</v>
      </c>
      <c r="Q56" s="50">
        <f t="shared" si="0"/>
        <v>1</v>
      </c>
      <c r="R56" s="50" t="str">
        <f>IF(AND(Q55=2,Q56=1),"",IF(Q56=2,(N56+N57)/2,IF(Table13232[[#This Row],[Dual Listing]]=1,Table13232[[#This Row],[Nat and Combo Bet]],11)))</f>
        <v/>
      </c>
      <c r="S56" s="50" t="str">
        <f t="shared" si="1"/>
        <v/>
      </c>
      <c r="T56" s="50" t="str">
        <f t="shared" si="2"/>
        <v/>
      </c>
      <c r="U56" s="50" t="str">
        <f>IF(Table13232[[#This Row],[Date]]&lt;$U$4,"","Live")</f>
        <v/>
      </c>
      <c r="V56" s="45" t="str">
        <f>TEXT(Table13232[[#This Row],[Date]],"DDD")</f>
        <v>Sat</v>
      </c>
      <c r="W56" s="45" t="str">
        <f>PROPER(TRIM(Table13232[[#This Row],[Horse]]))</f>
        <v>Sunshineinmypocket</v>
      </c>
    </row>
    <row r="57" spans="1:23" x14ac:dyDescent="0.25">
      <c r="A57" s="43">
        <v>45689</v>
      </c>
      <c r="B57" s="44">
        <v>0.51041666666666663</v>
      </c>
      <c r="C57" s="44" t="s">
        <v>16</v>
      </c>
      <c r="D57" s="45">
        <v>1</v>
      </c>
      <c r="E57" s="45">
        <v>5</v>
      </c>
      <c r="F57" s="46" t="s">
        <v>137</v>
      </c>
      <c r="G57" s="46"/>
      <c r="H57" s="47"/>
      <c r="I57" s="52" t="s">
        <v>297</v>
      </c>
      <c r="J57" s="45" t="str">
        <f>VLOOKUP(Table13232[[#This Row],[Track]],$C$836:$E$882,2,FALSE)</f>
        <v>Vic</v>
      </c>
      <c r="K57" s="49">
        <v>100</v>
      </c>
      <c r="L57" s="45" t="str">
        <f>IF(Table13232[[#This Row],[Fin]]&lt;&gt;"1st","",Table13232[[#This Row],[Div]]*Table13232[[#This Row],[Lev Bet]])</f>
        <v/>
      </c>
      <c r="M57" s="45">
        <f>IF(Table13232[[#This Row],[Lev Ret]]="",Table13232[[#This Row],[Lev Bet]]*-1,L57-K57)</f>
        <v>-100</v>
      </c>
      <c r="N57" s="135">
        <v>100</v>
      </c>
      <c r="O57" s="135" t="str">
        <f>IF(Table13232[[#This Row],[Fin]]&lt;&gt;"1st","",Table13232[[#This Row],[Div]]*Table13232[[#This Row],[Nat and Combo Bet]])</f>
        <v/>
      </c>
      <c r="P57" s="135">
        <f>IF(Table13232[[#This Row],[Lev Ret]]="",Table13232[[#This Row],[Nat and Combo Bet]]*-1,O57-N57)</f>
        <v>-100</v>
      </c>
      <c r="Q57" s="50">
        <f t="shared" si="0"/>
        <v>1</v>
      </c>
      <c r="R57" s="50">
        <f>IF(AND(Q56=2,Q57=1),"",IF(Q57=2,(N57+N58)/2,IF(Table13232[[#This Row],[Dual Listing]]=1,Table13232[[#This Row],[Nat and Combo Bet]],11)))</f>
        <v>100</v>
      </c>
      <c r="S57" s="50" t="str">
        <f t="shared" si="1"/>
        <v/>
      </c>
      <c r="T57" s="50">
        <f t="shared" si="2"/>
        <v>-100</v>
      </c>
      <c r="U57" s="50" t="str">
        <f>IF(Table13232[[#This Row],[Date]]&lt;$U$4,"","Live")</f>
        <v/>
      </c>
      <c r="V57" s="45" t="str">
        <f>TEXT(Table13232[[#This Row],[Date]],"DDD")</f>
        <v>Sat</v>
      </c>
      <c r="W57" s="45" t="str">
        <f>PROPER(TRIM(Table13232[[#This Row],[Horse]]))</f>
        <v>Material Dreams</v>
      </c>
    </row>
    <row r="58" spans="1:23" x14ac:dyDescent="0.25">
      <c r="A58" s="109">
        <v>45689</v>
      </c>
      <c r="B58" s="53">
        <v>0.51041666666666663</v>
      </c>
      <c r="C58" s="110" t="s">
        <v>16</v>
      </c>
      <c r="D58" s="111">
        <v>1</v>
      </c>
      <c r="E58" s="111">
        <v>7</v>
      </c>
      <c r="F58" s="112" t="s">
        <v>88</v>
      </c>
      <c r="G58" s="112" t="s">
        <v>21</v>
      </c>
      <c r="H58" s="113">
        <v>2.0499999999999998</v>
      </c>
      <c r="I58" s="114" t="s">
        <v>297</v>
      </c>
      <c r="J58" s="45" t="str">
        <f>VLOOKUP(Table13232[[#This Row],[Track]],$C$836:$E$882,2,FALSE)</f>
        <v>Vic</v>
      </c>
      <c r="K58" s="55">
        <v>100</v>
      </c>
      <c r="L58" s="54">
        <f>IF(Table13232[[#This Row],[Fin]]&lt;&gt;"1st","",Table13232[[#This Row],[Div]]*Table13232[[#This Row],[Lev Bet]])</f>
        <v>204.99999999999997</v>
      </c>
      <c r="M58" s="54">
        <f>IF(Table13232[[#This Row],[Lev Ret]]="",Table13232[[#This Row],[Lev Bet]]*-1,L58-K58)</f>
        <v>104.99999999999997</v>
      </c>
      <c r="N58" s="135">
        <v>160</v>
      </c>
      <c r="O58" s="135">
        <f>IF(Table13232[[#This Row],[Fin]]&lt;&gt;"1st","",Table13232[[#This Row],[Div]]*Table13232[[#This Row],[Nat and Combo Bet]])</f>
        <v>328</v>
      </c>
      <c r="P58" s="135">
        <f>IF(Table13232[[#This Row],[Lev Ret]]="",Table13232[[#This Row],[Nat and Combo Bet]]*-1,O58-N58)</f>
        <v>168</v>
      </c>
      <c r="Q58" s="50">
        <f t="shared" si="0"/>
        <v>2</v>
      </c>
      <c r="R58" s="50">
        <f>IF(AND(Q57=2,Q58=1),"",IF(Q58=2,(N58+N59)/2,IF(Table13232[[#This Row],[Dual Listing]]=1,Table13232[[#This Row],[Nat and Combo Bet]],11)))</f>
        <v>180</v>
      </c>
      <c r="S58" s="50">
        <f t="shared" si="1"/>
        <v>368.99999999999994</v>
      </c>
      <c r="T58" s="50">
        <f t="shared" si="2"/>
        <v>188.99999999999994</v>
      </c>
      <c r="U58" s="50" t="str">
        <f>IF(Table13232[[#This Row],[Date]]&lt;$U$4,"","Live")</f>
        <v/>
      </c>
      <c r="V58" s="45" t="str">
        <f>TEXT(Table13232[[#This Row],[Date]],"DDD")</f>
        <v>Sat</v>
      </c>
      <c r="W58" s="45" t="str">
        <f>PROPER(TRIM(Table13232[[#This Row],[Horse]]))</f>
        <v>New York Lustre</v>
      </c>
    </row>
    <row r="59" spans="1:23" x14ac:dyDescent="0.25">
      <c r="A59" s="109">
        <v>45689</v>
      </c>
      <c r="B59" s="53">
        <v>0.51041666666666663</v>
      </c>
      <c r="C59" s="110" t="s">
        <v>16</v>
      </c>
      <c r="D59" s="111">
        <v>1</v>
      </c>
      <c r="E59" s="111">
        <v>7</v>
      </c>
      <c r="F59" s="112" t="s">
        <v>88</v>
      </c>
      <c r="G59" s="112" t="s">
        <v>21</v>
      </c>
      <c r="H59" s="113">
        <v>2.0499999999999998</v>
      </c>
      <c r="I59" s="113" t="s">
        <v>298</v>
      </c>
      <c r="J59" s="45" t="str">
        <f>VLOOKUP(Table13232[[#This Row],[Track]],$C$836:$E$882,2,FALSE)</f>
        <v>Vic</v>
      </c>
      <c r="K59" s="55">
        <v>100</v>
      </c>
      <c r="L59" s="54">
        <f>IF(Table13232[[#This Row],[Fin]]&lt;&gt;"1st","",Table13232[[#This Row],[Div]]*Table13232[[#This Row],[Lev Bet]])</f>
        <v>204.99999999999997</v>
      </c>
      <c r="M59" s="54">
        <f>IF(Table13232[[#This Row],[Lev Ret]]="",Table13232[[#This Row],[Lev Bet]]*-1,L59-K59)</f>
        <v>104.99999999999997</v>
      </c>
      <c r="N59" s="135">
        <v>200</v>
      </c>
      <c r="O59" s="135">
        <f>IF(Table13232[[#This Row],[Fin]]&lt;&gt;"1st","",Table13232[[#This Row],[Div]]*Table13232[[#This Row],[Nat and Combo Bet]])</f>
        <v>409.99999999999994</v>
      </c>
      <c r="P59" s="135">
        <f>IF(Table13232[[#This Row],[Lev Ret]]="",Table13232[[#This Row],[Nat and Combo Bet]]*-1,O59-N59)</f>
        <v>209.99999999999994</v>
      </c>
      <c r="Q59" s="50">
        <f t="shared" si="0"/>
        <v>1</v>
      </c>
      <c r="R59" s="50" t="str">
        <f>IF(AND(Q58=2,Q59=1),"",IF(Q59=2,(N59+N60)/2,IF(Table13232[[#This Row],[Dual Listing]]=1,Table13232[[#This Row],[Nat and Combo Bet]],11)))</f>
        <v/>
      </c>
      <c r="S59" s="50" t="str">
        <f t="shared" si="1"/>
        <v/>
      </c>
      <c r="T59" s="50" t="str">
        <f t="shared" si="2"/>
        <v/>
      </c>
      <c r="U59" s="50" t="str">
        <f>IF(Table13232[[#This Row],[Date]]&lt;$U$4,"","Live")</f>
        <v/>
      </c>
      <c r="V59" s="45" t="str">
        <f>TEXT(Table13232[[#This Row],[Date]],"DDD")</f>
        <v>Sat</v>
      </c>
      <c r="W59" s="45" t="str">
        <f>PROPER(TRIM(Table13232[[#This Row],[Horse]]))</f>
        <v>New York Lustre</v>
      </c>
    </row>
    <row r="60" spans="1:23" x14ac:dyDescent="0.25">
      <c r="A60" s="43">
        <v>45689</v>
      </c>
      <c r="B60" s="44">
        <v>0.53125</v>
      </c>
      <c r="C60" s="44" t="s">
        <v>16</v>
      </c>
      <c r="D60" s="45">
        <v>2</v>
      </c>
      <c r="E60" s="45">
        <v>2</v>
      </c>
      <c r="F60" s="46" t="s">
        <v>370</v>
      </c>
      <c r="G60" s="46" t="s">
        <v>21</v>
      </c>
      <c r="H60" s="47">
        <v>4.8</v>
      </c>
      <c r="I60" s="52" t="s">
        <v>297</v>
      </c>
      <c r="J60" s="45" t="str">
        <f>VLOOKUP(Table13232[[#This Row],[Track]],$C$836:$E$882,2,FALSE)</f>
        <v>Vic</v>
      </c>
      <c r="K60" s="49">
        <v>100</v>
      </c>
      <c r="L60" s="45">
        <f>IF(Table13232[[#This Row],[Fin]]&lt;&gt;"1st","",Table13232[[#This Row],[Div]]*Table13232[[#This Row],[Lev Bet]])</f>
        <v>480</v>
      </c>
      <c r="M60" s="45">
        <f>IF(Table13232[[#This Row],[Lev Ret]]="",Table13232[[#This Row],[Lev Bet]]*-1,L60-K60)</f>
        <v>380</v>
      </c>
      <c r="N60" s="135">
        <v>160</v>
      </c>
      <c r="O60" s="135">
        <f>IF(Table13232[[#This Row],[Fin]]&lt;&gt;"1st","",Table13232[[#This Row],[Div]]*Table13232[[#This Row],[Nat and Combo Bet]])</f>
        <v>768</v>
      </c>
      <c r="P60" s="135">
        <f>IF(Table13232[[#This Row],[Lev Ret]]="",Table13232[[#This Row],[Nat and Combo Bet]]*-1,O60-N60)</f>
        <v>608</v>
      </c>
      <c r="Q60" s="50">
        <f t="shared" si="0"/>
        <v>1</v>
      </c>
      <c r="R60" s="50">
        <f>IF(AND(Q59=2,Q60=1),"",IF(Q60=2,(N60+N61)/2,IF(Table13232[[#This Row],[Dual Listing]]=1,Table13232[[#This Row],[Nat and Combo Bet]],11)))</f>
        <v>160</v>
      </c>
      <c r="S60" s="50">
        <f t="shared" si="1"/>
        <v>768</v>
      </c>
      <c r="T60" s="50">
        <f t="shared" si="2"/>
        <v>608</v>
      </c>
      <c r="U60" s="50" t="str">
        <f>IF(Table13232[[#This Row],[Date]]&lt;$U$4,"","Live")</f>
        <v/>
      </c>
      <c r="V60" s="45" t="str">
        <f>TEXT(Table13232[[#This Row],[Date]],"DDD")</f>
        <v>Sat</v>
      </c>
      <c r="W60" s="45" t="str">
        <f>PROPER(TRIM(Table13232[[#This Row],[Horse]]))</f>
        <v>First Immortal</v>
      </c>
    </row>
    <row r="61" spans="1:23" x14ac:dyDescent="0.25">
      <c r="A61" s="43">
        <v>45689</v>
      </c>
      <c r="B61" s="44">
        <v>0.53125</v>
      </c>
      <c r="C61" s="44" t="s">
        <v>16</v>
      </c>
      <c r="D61" s="45">
        <v>2</v>
      </c>
      <c r="E61" s="45">
        <v>5</v>
      </c>
      <c r="F61" s="46" t="s">
        <v>369</v>
      </c>
      <c r="G61" s="46"/>
      <c r="H61" s="47"/>
      <c r="I61" s="52" t="s">
        <v>297</v>
      </c>
      <c r="J61" s="45" t="str">
        <f>VLOOKUP(Table13232[[#This Row],[Track]],$C$836:$E$882,2,FALSE)</f>
        <v>Vic</v>
      </c>
      <c r="K61" s="49">
        <v>100</v>
      </c>
      <c r="L61" s="45" t="str">
        <f>IF(Table13232[[#This Row],[Fin]]&lt;&gt;"1st","",Table13232[[#This Row],[Div]]*Table13232[[#This Row],[Lev Bet]])</f>
        <v/>
      </c>
      <c r="M61" s="45">
        <f>IF(Table13232[[#This Row],[Lev Ret]]="",Table13232[[#This Row],[Lev Bet]]*-1,L61-K61)</f>
        <v>-100</v>
      </c>
      <c r="N61" s="135">
        <v>100</v>
      </c>
      <c r="O61" s="135" t="str">
        <f>IF(Table13232[[#This Row],[Fin]]&lt;&gt;"1st","",Table13232[[#This Row],[Div]]*Table13232[[#This Row],[Nat and Combo Bet]])</f>
        <v/>
      </c>
      <c r="P61" s="135">
        <f>IF(Table13232[[#This Row],[Lev Ret]]="",Table13232[[#This Row],[Nat and Combo Bet]]*-1,O61-N61)</f>
        <v>-100</v>
      </c>
      <c r="Q61" s="50">
        <f t="shared" si="0"/>
        <v>1</v>
      </c>
      <c r="R61" s="50">
        <f>IF(AND(Q60=2,Q61=1),"",IF(Q61=2,(N61+N62)/2,IF(Table13232[[#This Row],[Dual Listing]]=1,Table13232[[#This Row],[Nat and Combo Bet]],11)))</f>
        <v>100</v>
      </c>
      <c r="S61" s="50" t="str">
        <f t="shared" si="1"/>
        <v/>
      </c>
      <c r="T61" s="50">
        <f t="shared" si="2"/>
        <v>-100</v>
      </c>
      <c r="U61" s="50" t="str">
        <f>IF(Table13232[[#This Row],[Date]]&lt;$U$4,"","Live")</f>
        <v/>
      </c>
      <c r="V61" s="45" t="str">
        <f>TEXT(Table13232[[#This Row],[Date]],"DDD")</f>
        <v>Sat</v>
      </c>
      <c r="W61" s="45" t="str">
        <f>PROPER(TRIM(Table13232[[#This Row],[Horse]]))</f>
        <v>Night Endeavor</v>
      </c>
    </row>
    <row r="62" spans="1:23" x14ac:dyDescent="0.25">
      <c r="A62" s="43">
        <v>45689</v>
      </c>
      <c r="B62" s="44">
        <v>0.57499999999999996</v>
      </c>
      <c r="C62" s="44" t="s">
        <v>9</v>
      </c>
      <c r="D62" s="45">
        <v>2</v>
      </c>
      <c r="E62" s="45">
        <v>6</v>
      </c>
      <c r="F62" s="46" t="s">
        <v>478</v>
      </c>
      <c r="G62" s="46"/>
      <c r="H62" s="47"/>
      <c r="I62" s="47" t="s">
        <v>298</v>
      </c>
      <c r="J62" s="45" t="str">
        <f>VLOOKUP(Table13232[[#This Row],[Track]],$C$836:$E$882,2,FALSE)</f>
        <v>Qld</v>
      </c>
      <c r="K62" s="49">
        <v>100</v>
      </c>
      <c r="L62" s="45" t="str">
        <f>IF(Table13232[[#This Row],[Fin]]&lt;&gt;"1st","",Table13232[[#This Row],[Div]]*Table13232[[#This Row],[Lev Bet]])</f>
        <v/>
      </c>
      <c r="M62" s="45">
        <f>IF(Table13232[[#This Row],[Lev Ret]]="",Table13232[[#This Row],[Lev Bet]]*-1,L62-K62)</f>
        <v>-100</v>
      </c>
      <c r="N62" s="135">
        <v>100</v>
      </c>
      <c r="O62" s="135" t="str">
        <f>IF(Table13232[[#This Row],[Fin]]&lt;&gt;"1st","",Table13232[[#This Row],[Div]]*Table13232[[#This Row],[Nat and Combo Bet]])</f>
        <v/>
      </c>
      <c r="P62" s="135">
        <f>IF(Table13232[[#This Row],[Lev Ret]]="",Table13232[[#This Row],[Nat and Combo Bet]]*-1,O62-N62)</f>
        <v>-100</v>
      </c>
      <c r="Q62" s="50">
        <f t="shared" si="0"/>
        <v>1</v>
      </c>
      <c r="R62" s="50">
        <f>IF(AND(Q61=2,Q62=1),"",IF(Q62=2,(N62+N63)/2,IF(Table13232[[#This Row],[Dual Listing]]=1,Table13232[[#This Row],[Nat and Combo Bet]],11)))</f>
        <v>100</v>
      </c>
      <c r="S62" s="50" t="str">
        <f t="shared" si="1"/>
        <v/>
      </c>
      <c r="T62" s="50">
        <f t="shared" si="2"/>
        <v>-100</v>
      </c>
      <c r="U62" s="50" t="str">
        <f>IF(Table13232[[#This Row],[Date]]&lt;$U$4,"","Live")</f>
        <v/>
      </c>
      <c r="V62" s="45" t="str">
        <f>TEXT(Table13232[[#This Row],[Date]],"DDD")</f>
        <v>Sat</v>
      </c>
      <c r="W62" s="45" t="str">
        <f>PROPER(TRIM(Table13232[[#This Row],[Horse]]))</f>
        <v>Aldeenaary</v>
      </c>
    </row>
    <row r="63" spans="1:23" x14ac:dyDescent="0.25">
      <c r="A63" s="43">
        <v>45689</v>
      </c>
      <c r="B63" s="44">
        <v>0.59930555555555554</v>
      </c>
      <c r="C63" s="44" t="s">
        <v>9</v>
      </c>
      <c r="D63" s="45">
        <v>3</v>
      </c>
      <c r="E63" s="45">
        <v>11</v>
      </c>
      <c r="F63" s="46" t="s">
        <v>482</v>
      </c>
      <c r="G63" s="46" t="s">
        <v>21</v>
      </c>
      <c r="H63" s="47">
        <v>6</v>
      </c>
      <c r="I63" s="47" t="s">
        <v>298</v>
      </c>
      <c r="J63" s="45" t="str">
        <f>VLOOKUP(Table13232[[#This Row],[Track]],$C$836:$E$882,2,FALSE)</f>
        <v>Qld</v>
      </c>
      <c r="K63" s="49">
        <v>100</v>
      </c>
      <c r="L63" s="45">
        <f>IF(Table13232[[#This Row],[Fin]]&lt;&gt;"1st","",Table13232[[#This Row],[Div]]*Table13232[[#This Row],[Lev Bet]])</f>
        <v>600</v>
      </c>
      <c r="M63" s="45">
        <f>IF(Table13232[[#This Row],[Lev Ret]]="",Table13232[[#This Row],[Lev Bet]]*-1,L63-K63)</f>
        <v>500</v>
      </c>
      <c r="N63" s="135">
        <v>100</v>
      </c>
      <c r="O63" s="135">
        <f>IF(Table13232[[#This Row],[Fin]]&lt;&gt;"1st","",Table13232[[#This Row],[Div]]*Table13232[[#This Row],[Nat and Combo Bet]])</f>
        <v>600</v>
      </c>
      <c r="P63" s="135">
        <f>IF(Table13232[[#This Row],[Lev Ret]]="",Table13232[[#This Row],[Nat and Combo Bet]]*-1,O63-N63)</f>
        <v>500</v>
      </c>
      <c r="Q63" s="50">
        <f t="shared" si="0"/>
        <v>1</v>
      </c>
      <c r="R63" s="50">
        <f>IF(AND(Q62=2,Q63=1),"",IF(Q63=2,(N63+N64)/2,IF(Table13232[[#This Row],[Dual Listing]]=1,Table13232[[#This Row],[Nat and Combo Bet]],11)))</f>
        <v>100</v>
      </c>
      <c r="S63" s="50">
        <f t="shared" si="1"/>
        <v>600</v>
      </c>
      <c r="T63" s="50">
        <f t="shared" si="2"/>
        <v>500</v>
      </c>
      <c r="U63" s="50" t="str">
        <f>IF(Table13232[[#This Row],[Date]]&lt;$U$4,"","Live")</f>
        <v/>
      </c>
      <c r="V63" s="45" t="str">
        <f>TEXT(Table13232[[#This Row],[Date]],"DDD")</f>
        <v>Sat</v>
      </c>
      <c r="W63" s="45" t="str">
        <f>PROPER(TRIM(Table13232[[#This Row],[Horse]]))</f>
        <v>Smart Action</v>
      </c>
    </row>
    <row r="64" spans="1:23" x14ac:dyDescent="0.25">
      <c r="A64" s="43">
        <v>45689</v>
      </c>
      <c r="B64" s="44">
        <v>0.62361111111111112</v>
      </c>
      <c r="C64" s="44" t="s">
        <v>9</v>
      </c>
      <c r="D64" s="45">
        <v>4</v>
      </c>
      <c r="E64" s="45">
        <v>2</v>
      </c>
      <c r="F64" s="46" t="s">
        <v>483</v>
      </c>
      <c r="G64" s="46" t="s">
        <v>21</v>
      </c>
      <c r="H64" s="47">
        <v>1.7</v>
      </c>
      <c r="I64" s="47" t="s">
        <v>298</v>
      </c>
      <c r="J64" s="45" t="str">
        <f>VLOOKUP(Table13232[[#This Row],[Track]],$C$836:$E$882,2,FALSE)</f>
        <v>Qld</v>
      </c>
      <c r="K64" s="49">
        <v>100</v>
      </c>
      <c r="L64" s="45">
        <f>IF(Table13232[[#This Row],[Fin]]&lt;&gt;"1st","",Table13232[[#This Row],[Div]]*Table13232[[#This Row],[Lev Bet]])</f>
        <v>170</v>
      </c>
      <c r="M64" s="45">
        <f>IF(Table13232[[#This Row],[Lev Ret]]="",Table13232[[#This Row],[Lev Bet]]*-1,L64-K64)</f>
        <v>70</v>
      </c>
      <c r="N64" s="135">
        <v>100</v>
      </c>
      <c r="O64" s="135">
        <f>IF(Table13232[[#This Row],[Fin]]&lt;&gt;"1st","",Table13232[[#This Row],[Div]]*Table13232[[#This Row],[Nat and Combo Bet]])</f>
        <v>170</v>
      </c>
      <c r="P64" s="135">
        <f>IF(Table13232[[#This Row],[Lev Ret]]="",Table13232[[#This Row],[Nat and Combo Bet]]*-1,O64-N64)</f>
        <v>70</v>
      </c>
      <c r="Q64" s="50">
        <f t="shared" si="0"/>
        <v>1</v>
      </c>
      <c r="R64" s="50">
        <f>IF(AND(Q63=2,Q64=1),"",IF(Q64=2,(N64+N65)/2,IF(Table13232[[#This Row],[Dual Listing]]=1,Table13232[[#This Row],[Nat and Combo Bet]],11)))</f>
        <v>100</v>
      </c>
      <c r="S64" s="50">
        <f t="shared" si="1"/>
        <v>170</v>
      </c>
      <c r="T64" s="50">
        <f t="shared" si="2"/>
        <v>70</v>
      </c>
      <c r="U64" s="50" t="str">
        <f>IF(Table13232[[#This Row],[Date]]&lt;$U$4,"","Live")</f>
        <v/>
      </c>
      <c r="V64" s="45" t="str">
        <f>TEXT(Table13232[[#This Row],[Date]],"DDD")</f>
        <v>Sat</v>
      </c>
      <c r="W64" s="45" t="str">
        <f>PROPER(TRIM(Table13232[[#This Row],[Horse]]))</f>
        <v>Torabella</v>
      </c>
    </row>
    <row r="65" spans="1:23" x14ac:dyDescent="0.25">
      <c r="A65" s="43">
        <v>45689</v>
      </c>
      <c r="B65" s="44">
        <v>0.66666666666666663</v>
      </c>
      <c r="C65" s="44" t="s">
        <v>11</v>
      </c>
      <c r="D65" s="45">
        <v>7</v>
      </c>
      <c r="E65" s="45">
        <v>11</v>
      </c>
      <c r="F65" s="46" t="s">
        <v>371</v>
      </c>
      <c r="G65" s="46" t="s">
        <v>22</v>
      </c>
      <c r="H65" s="47"/>
      <c r="I65" s="52" t="s">
        <v>297</v>
      </c>
      <c r="J65" s="45" t="str">
        <f>VLOOKUP(Table13232[[#This Row],[Track]],$C$836:$E$882,2,FALSE)</f>
        <v>NSW</v>
      </c>
      <c r="K65" s="49">
        <v>100</v>
      </c>
      <c r="L65" s="45" t="str">
        <f>IF(Table13232[[#This Row],[Fin]]&lt;&gt;"1st","",Table13232[[#This Row],[Div]]*Table13232[[#This Row],[Lev Bet]])</f>
        <v/>
      </c>
      <c r="M65" s="45">
        <f>IF(Table13232[[#This Row],[Lev Ret]]="",Table13232[[#This Row],[Lev Bet]]*-1,L65-K65)</f>
        <v>-100</v>
      </c>
      <c r="N65" s="135">
        <v>150</v>
      </c>
      <c r="O65" s="135" t="str">
        <f>IF(Table13232[[#This Row],[Fin]]&lt;&gt;"1st","",Table13232[[#This Row],[Div]]*Table13232[[#This Row],[Nat and Combo Bet]])</f>
        <v/>
      </c>
      <c r="P65" s="135">
        <f>IF(Table13232[[#This Row],[Lev Ret]]="",Table13232[[#This Row],[Nat and Combo Bet]]*-1,O65-N65)</f>
        <v>-150</v>
      </c>
      <c r="Q65" s="50">
        <f t="shared" si="0"/>
        <v>1</v>
      </c>
      <c r="R65" s="50">
        <f>IF(AND(Q64=2,Q65=1),"",IF(Q65=2,(N65+N66)/2,IF(Table13232[[#This Row],[Dual Listing]]=1,Table13232[[#This Row],[Nat and Combo Bet]],11)))</f>
        <v>150</v>
      </c>
      <c r="S65" s="50" t="str">
        <f t="shared" si="1"/>
        <v/>
      </c>
      <c r="T65" s="50">
        <f t="shared" si="2"/>
        <v>-150</v>
      </c>
      <c r="U65" s="50" t="str">
        <f>IF(Table13232[[#This Row],[Date]]&lt;$U$4,"","Live")</f>
        <v/>
      </c>
      <c r="V65" s="45" t="str">
        <f>TEXT(Table13232[[#This Row],[Date]],"DDD")</f>
        <v>Sat</v>
      </c>
      <c r="W65" s="45" t="str">
        <f>PROPER(TRIM(Table13232[[#This Row],[Horse]]))</f>
        <v>Step Aside</v>
      </c>
    </row>
    <row r="66" spans="1:23" x14ac:dyDescent="0.25">
      <c r="A66" s="109">
        <v>45689</v>
      </c>
      <c r="B66" s="53">
        <v>0.67708333333333337</v>
      </c>
      <c r="C66" s="110" t="s">
        <v>16</v>
      </c>
      <c r="D66" s="111">
        <v>8</v>
      </c>
      <c r="E66" s="111">
        <v>6</v>
      </c>
      <c r="F66" s="112" t="s">
        <v>92</v>
      </c>
      <c r="G66" s="112" t="s">
        <v>21</v>
      </c>
      <c r="H66" s="113">
        <v>2.2999999999999998</v>
      </c>
      <c r="I66" s="114" t="s">
        <v>297</v>
      </c>
      <c r="J66" s="45" t="str">
        <f>VLOOKUP(Table13232[[#This Row],[Track]],$C$836:$E$882,2,FALSE)</f>
        <v>Vic</v>
      </c>
      <c r="K66" s="55">
        <v>100</v>
      </c>
      <c r="L66" s="54">
        <f>IF(Table13232[[#This Row],[Fin]]&lt;&gt;"1st","",Table13232[[#This Row],[Div]]*Table13232[[#This Row],[Lev Bet]])</f>
        <v>229.99999999999997</v>
      </c>
      <c r="M66" s="54">
        <f>IF(Table13232[[#This Row],[Lev Ret]]="",Table13232[[#This Row],[Lev Bet]]*-1,L66-K66)</f>
        <v>129.99999999999997</v>
      </c>
      <c r="N66" s="135">
        <v>150</v>
      </c>
      <c r="O66" s="135">
        <f>IF(Table13232[[#This Row],[Fin]]&lt;&gt;"1st","",Table13232[[#This Row],[Div]]*Table13232[[#This Row],[Nat and Combo Bet]])</f>
        <v>345</v>
      </c>
      <c r="P66" s="135">
        <f>IF(Table13232[[#This Row],[Lev Ret]]="",Table13232[[#This Row],[Nat and Combo Bet]]*-1,O66-N66)</f>
        <v>195</v>
      </c>
      <c r="Q66" s="50">
        <f t="shared" si="0"/>
        <v>2</v>
      </c>
      <c r="R66" s="50">
        <f>IF(AND(Q65=2,Q66=1),"",IF(Q66=2,(N66+N67)/2,IF(Table13232[[#This Row],[Dual Listing]]=1,Table13232[[#This Row],[Nat and Combo Bet]],11)))</f>
        <v>125</v>
      </c>
      <c r="S66" s="50">
        <f t="shared" si="1"/>
        <v>287.5</v>
      </c>
      <c r="T66" s="50">
        <f t="shared" si="2"/>
        <v>162.5</v>
      </c>
      <c r="U66" s="50" t="str">
        <f>IF(Table13232[[#This Row],[Date]]&lt;$U$4,"","Live")</f>
        <v/>
      </c>
      <c r="V66" s="45" t="str">
        <f>TEXT(Table13232[[#This Row],[Date]],"DDD")</f>
        <v>Sat</v>
      </c>
      <c r="W66" s="45" t="str">
        <f>PROPER(TRIM(Table13232[[#This Row],[Horse]]))</f>
        <v>Revelare</v>
      </c>
    </row>
    <row r="67" spans="1:23" x14ac:dyDescent="0.25">
      <c r="A67" s="109">
        <v>45689</v>
      </c>
      <c r="B67" s="53">
        <v>0.67708333333333337</v>
      </c>
      <c r="C67" s="110" t="s">
        <v>15</v>
      </c>
      <c r="D67" s="111">
        <v>8</v>
      </c>
      <c r="E67" s="111">
        <v>6</v>
      </c>
      <c r="F67" s="112" t="s">
        <v>92</v>
      </c>
      <c r="G67" s="112" t="s">
        <v>21</v>
      </c>
      <c r="H67" s="113">
        <v>2.2999999999999998</v>
      </c>
      <c r="I67" s="113" t="s">
        <v>298</v>
      </c>
      <c r="J67" s="45" t="str">
        <f>VLOOKUP(Table13232[[#This Row],[Track]],$C$836:$E$882,2,FALSE)</f>
        <v>Vic</v>
      </c>
      <c r="K67" s="55">
        <v>100</v>
      </c>
      <c r="L67" s="54">
        <f>IF(Table13232[[#This Row],[Fin]]&lt;&gt;"1st","",Table13232[[#This Row],[Div]]*Table13232[[#This Row],[Lev Bet]])</f>
        <v>229.99999999999997</v>
      </c>
      <c r="M67" s="54">
        <f>IF(Table13232[[#This Row],[Lev Ret]]="",Table13232[[#This Row],[Lev Bet]]*-1,L67-K67)</f>
        <v>129.99999999999997</v>
      </c>
      <c r="N67" s="135">
        <v>100</v>
      </c>
      <c r="O67" s="135">
        <f>IF(Table13232[[#This Row],[Fin]]&lt;&gt;"1st","",Table13232[[#This Row],[Div]]*Table13232[[#This Row],[Nat and Combo Bet]])</f>
        <v>229.99999999999997</v>
      </c>
      <c r="P67" s="135">
        <f>IF(Table13232[[#This Row],[Lev Ret]]="",Table13232[[#This Row],[Nat and Combo Bet]]*-1,O67-N67)</f>
        <v>129.99999999999997</v>
      </c>
      <c r="Q67" s="50">
        <f t="shared" si="0"/>
        <v>1</v>
      </c>
      <c r="R67" s="50" t="str">
        <f>IF(AND(Q66=2,Q67=1),"",IF(Q67=2,(N67+N68)/2,IF(Table13232[[#This Row],[Dual Listing]]=1,Table13232[[#This Row],[Nat and Combo Bet]],11)))</f>
        <v/>
      </c>
      <c r="S67" s="50" t="str">
        <f t="shared" si="1"/>
        <v/>
      </c>
      <c r="T67" s="50" t="str">
        <f t="shared" si="2"/>
        <v/>
      </c>
      <c r="U67" s="50" t="str">
        <f>IF(Table13232[[#This Row],[Date]]&lt;$U$4,"","Live")</f>
        <v/>
      </c>
      <c r="V67" s="45" t="str">
        <f>TEXT(Table13232[[#This Row],[Date]],"DDD")</f>
        <v>Sat</v>
      </c>
      <c r="W67" s="45" t="str">
        <f>PROPER(TRIM(Table13232[[#This Row],[Horse]]))</f>
        <v>Revelare</v>
      </c>
    </row>
    <row r="68" spans="1:23" x14ac:dyDescent="0.25">
      <c r="A68" s="43">
        <v>45689</v>
      </c>
      <c r="B68" s="44">
        <v>0.70486111111111116</v>
      </c>
      <c r="C68" s="44" t="s">
        <v>16</v>
      </c>
      <c r="D68" s="45">
        <v>9</v>
      </c>
      <c r="E68" s="45">
        <v>9</v>
      </c>
      <c r="F68" s="46" t="s">
        <v>230</v>
      </c>
      <c r="G68" s="46" t="s">
        <v>21</v>
      </c>
      <c r="H68" s="47">
        <v>4.0999999999999996</v>
      </c>
      <c r="I68" s="47" t="s">
        <v>298</v>
      </c>
      <c r="J68" s="45" t="str">
        <f>VLOOKUP(Table13232[[#This Row],[Track]],$C$836:$E$882,2,FALSE)</f>
        <v>Vic</v>
      </c>
      <c r="K68" s="49">
        <v>100</v>
      </c>
      <c r="L68" s="45">
        <f>IF(Table13232[[#This Row],[Fin]]&lt;&gt;"1st","",Table13232[[#This Row],[Div]]*Table13232[[#This Row],[Lev Bet]])</f>
        <v>409.99999999999994</v>
      </c>
      <c r="M68" s="45">
        <f>IF(Table13232[[#This Row],[Lev Ret]]="",Table13232[[#This Row],[Lev Bet]]*-1,L68-K68)</f>
        <v>309.99999999999994</v>
      </c>
      <c r="N68" s="135">
        <v>200</v>
      </c>
      <c r="O68" s="135">
        <f>IF(Table13232[[#This Row],[Fin]]&lt;&gt;"1st","",Table13232[[#This Row],[Div]]*Table13232[[#This Row],[Nat and Combo Bet]])</f>
        <v>819.99999999999989</v>
      </c>
      <c r="P68" s="135">
        <f>IF(Table13232[[#This Row],[Lev Ret]]="",Table13232[[#This Row],[Nat and Combo Bet]]*-1,O68-N68)</f>
        <v>619.99999999999989</v>
      </c>
      <c r="Q68" s="50">
        <f t="shared" si="0"/>
        <v>1</v>
      </c>
      <c r="R68" s="50">
        <f>IF(AND(Q67=2,Q68=1),"",IF(Q68=2,(N68+N69)/2,IF(Table13232[[#This Row],[Dual Listing]]=1,Table13232[[#This Row],[Nat and Combo Bet]],11)))</f>
        <v>200</v>
      </c>
      <c r="S68" s="50">
        <f t="shared" si="1"/>
        <v>819.99999999999989</v>
      </c>
      <c r="T68" s="50">
        <f t="shared" si="2"/>
        <v>619.99999999999989</v>
      </c>
      <c r="U68" s="50" t="str">
        <f>IF(Table13232[[#This Row],[Date]]&lt;$U$4,"","Live")</f>
        <v/>
      </c>
      <c r="V68" s="45" t="str">
        <f>TEXT(Table13232[[#This Row],[Date]],"DDD")</f>
        <v>Sat</v>
      </c>
      <c r="W68" s="45" t="str">
        <f>PROPER(TRIM(Table13232[[#This Row],[Horse]]))</f>
        <v>Shes Bulletproof</v>
      </c>
    </row>
    <row r="69" spans="1:23" x14ac:dyDescent="0.25">
      <c r="A69" s="43">
        <v>45689</v>
      </c>
      <c r="B69" s="44">
        <v>0.70486111111111116</v>
      </c>
      <c r="C69" s="44" t="s">
        <v>16</v>
      </c>
      <c r="D69" s="45">
        <v>9</v>
      </c>
      <c r="E69" s="45">
        <v>9</v>
      </c>
      <c r="F69" s="46" t="s">
        <v>372</v>
      </c>
      <c r="G69" s="46" t="s">
        <v>21</v>
      </c>
      <c r="H69" s="47">
        <v>4.0999999999999996</v>
      </c>
      <c r="I69" s="52" t="s">
        <v>297</v>
      </c>
      <c r="J69" s="45" t="str">
        <f>VLOOKUP(Table13232[[#This Row],[Track]],$C$836:$E$882,2,FALSE)</f>
        <v>Vic</v>
      </c>
      <c r="K69" s="49">
        <v>100</v>
      </c>
      <c r="L69" s="45">
        <f>IF(Table13232[[#This Row],[Fin]]&lt;&gt;"1st","",Table13232[[#This Row],[Div]]*Table13232[[#This Row],[Lev Bet]])</f>
        <v>409.99999999999994</v>
      </c>
      <c r="M69" s="45">
        <f>IF(Table13232[[#This Row],[Lev Ret]]="",Table13232[[#This Row],[Lev Bet]]*-1,L69-K69)</f>
        <v>309.99999999999994</v>
      </c>
      <c r="N69" s="135">
        <v>100</v>
      </c>
      <c r="O69" s="135">
        <f>IF(Table13232[[#This Row],[Fin]]&lt;&gt;"1st","",Table13232[[#This Row],[Div]]*Table13232[[#This Row],[Nat and Combo Bet]])</f>
        <v>409.99999999999994</v>
      </c>
      <c r="P69" s="135">
        <f>IF(Table13232[[#This Row],[Lev Ret]]="",Table13232[[#This Row],[Nat and Combo Bet]]*-1,O69-N69)</f>
        <v>309.99999999999994</v>
      </c>
      <c r="Q69" s="50">
        <f t="shared" si="0"/>
        <v>1</v>
      </c>
      <c r="R69" s="50">
        <f>IF(AND(Q68=2,Q69=1),"",IF(Q69=2,(N69+N70)/2,IF(Table13232[[#This Row],[Dual Listing]]=1,Table13232[[#This Row],[Nat and Combo Bet]],11)))</f>
        <v>100</v>
      </c>
      <c r="S69" s="50">
        <f t="shared" si="1"/>
        <v>409.99999999999994</v>
      </c>
      <c r="T69" s="50">
        <f t="shared" si="2"/>
        <v>309.99999999999994</v>
      </c>
      <c r="U69" s="50" t="str">
        <f>IF(Table13232[[#This Row],[Date]]&lt;$U$4,"","Live")</f>
        <v/>
      </c>
      <c r="V69" s="45" t="str">
        <f>TEXT(Table13232[[#This Row],[Date]],"DDD")</f>
        <v>Sat</v>
      </c>
      <c r="W69" s="45" t="str">
        <f>PROPER(TRIM(Table13232[[#This Row],[Horse]]))</f>
        <v>She'S Bulletproof</v>
      </c>
    </row>
    <row r="70" spans="1:23" x14ac:dyDescent="0.25">
      <c r="A70" s="43">
        <v>45689</v>
      </c>
      <c r="B70" s="44">
        <v>0.71875</v>
      </c>
      <c r="C70" s="44" t="s">
        <v>11</v>
      </c>
      <c r="D70" s="45">
        <v>9</v>
      </c>
      <c r="E70" s="45">
        <v>6</v>
      </c>
      <c r="F70" s="46" t="s">
        <v>123</v>
      </c>
      <c r="G70" s="46"/>
      <c r="H70" s="47"/>
      <c r="I70" s="52" t="s">
        <v>297</v>
      </c>
      <c r="J70" s="45" t="str">
        <f>VLOOKUP(Table13232[[#This Row],[Track]],$C$836:$E$882,2,FALSE)</f>
        <v>NSW</v>
      </c>
      <c r="K70" s="49">
        <v>100</v>
      </c>
      <c r="L70" s="45" t="str">
        <f>IF(Table13232[[#This Row],[Fin]]&lt;&gt;"1st","",Table13232[[#This Row],[Div]]*Table13232[[#This Row],[Lev Bet]])</f>
        <v/>
      </c>
      <c r="M70" s="45">
        <f>IF(Table13232[[#This Row],[Lev Ret]]="",Table13232[[#This Row],[Lev Bet]]*-1,L70-K70)</f>
        <v>-100</v>
      </c>
      <c r="N70" s="135">
        <v>100</v>
      </c>
      <c r="O70" s="135" t="str">
        <f>IF(Table13232[[#This Row],[Fin]]&lt;&gt;"1st","",Table13232[[#This Row],[Div]]*Table13232[[#This Row],[Nat and Combo Bet]])</f>
        <v/>
      </c>
      <c r="P70" s="135">
        <f>IF(Table13232[[#This Row],[Lev Ret]]="",Table13232[[#This Row],[Nat and Combo Bet]]*-1,O70-N70)</f>
        <v>-100</v>
      </c>
      <c r="Q70" s="50">
        <f t="shared" si="0"/>
        <v>1</v>
      </c>
      <c r="R70" s="50">
        <f>IF(AND(Q69=2,Q70=1),"",IF(Q70=2,(N70+N71)/2,IF(Table13232[[#This Row],[Dual Listing]]=1,Table13232[[#This Row],[Nat and Combo Bet]],11)))</f>
        <v>100</v>
      </c>
      <c r="S70" s="50" t="str">
        <f t="shared" si="1"/>
        <v/>
      </c>
      <c r="T70" s="50">
        <f t="shared" si="2"/>
        <v>-100</v>
      </c>
      <c r="U70" s="50" t="str">
        <f>IF(Table13232[[#This Row],[Date]]&lt;$U$4,"","Live")</f>
        <v/>
      </c>
      <c r="V70" s="45" t="str">
        <f>TEXT(Table13232[[#This Row],[Date]],"DDD")</f>
        <v>Sat</v>
      </c>
      <c r="W70" s="45" t="str">
        <f>PROPER(TRIM(Table13232[[#This Row],[Horse]]))</f>
        <v>Time To Boogie</v>
      </c>
    </row>
    <row r="71" spans="1:23" x14ac:dyDescent="0.25">
      <c r="A71" s="43">
        <v>45689</v>
      </c>
      <c r="B71" s="44">
        <v>0.7270833333333333</v>
      </c>
      <c r="C71" s="44" t="s">
        <v>9</v>
      </c>
      <c r="D71" s="45">
        <v>8</v>
      </c>
      <c r="E71" s="45">
        <v>5</v>
      </c>
      <c r="F71" s="46" t="s">
        <v>484</v>
      </c>
      <c r="G71" s="46"/>
      <c r="H71" s="47"/>
      <c r="I71" s="47" t="s">
        <v>298</v>
      </c>
      <c r="J71" s="45" t="str">
        <f>VLOOKUP(Table13232[[#This Row],[Track]],$C$836:$E$882,2,FALSE)</f>
        <v>Qld</v>
      </c>
      <c r="K71" s="49">
        <v>100</v>
      </c>
      <c r="L71" s="45" t="str">
        <f>IF(Table13232[[#This Row],[Fin]]&lt;&gt;"1st","",Table13232[[#This Row],[Div]]*Table13232[[#This Row],[Lev Bet]])</f>
        <v/>
      </c>
      <c r="M71" s="45">
        <f>IF(Table13232[[#This Row],[Lev Ret]]="",Table13232[[#This Row],[Lev Bet]]*-1,L71-K71)</f>
        <v>-100</v>
      </c>
      <c r="N71" s="135">
        <v>100</v>
      </c>
      <c r="O71" s="135" t="str">
        <f>IF(Table13232[[#This Row],[Fin]]&lt;&gt;"1st","",Table13232[[#This Row],[Div]]*Table13232[[#This Row],[Nat and Combo Bet]])</f>
        <v/>
      </c>
      <c r="P71" s="135">
        <f>IF(Table13232[[#This Row],[Lev Ret]]="",Table13232[[#This Row],[Nat and Combo Bet]]*-1,O71-N71)</f>
        <v>-100</v>
      </c>
      <c r="Q71" s="50">
        <f t="shared" ref="Q71:Q134" si="3">IF(AND(A72=A71,F72=F71),2,1)</f>
        <v>1</v>
      </c>
      <c r="R71" s="50">
        <f>IF(AND(Q70=2,Q71=1),"",IF(Q71=2,(N71+N72)/2,IF(Table13232[[#This Row],[Dual Listing]]=1,Table13232[[#This Row],[Nat and Combo Bet]],11)))</f>
        <v>100</v>
      </c>
      <c r="S71" s="50" t="str">
        <f t="shared" ref="S71:S134" si="4">IF(R71="","",IF(O71="","",R71*H71))</f>
        <v/>
      </c>
      <c r="T71" s="50">
        <f t="shared" ref="T71:T134" si="5">IF(R71="","",IF(S71="",R71*-1,S71-R71))</f>
        <v>-100</v>
      </c>
      <c r="U71" s="50" t="str">
        <f>IF(Table13232[[#This Row],[Date]]&lt;$U$4,"","Live")</f>
        <v/>
      </c>
      <c r="V71" s="45" t="str">
        <f>TEXT(Table13232[[#This Row],[Date]],"DDD")</f>
        <v>Sat</v>
      </c>
      <c r="W71" s="45" t="str">
        <f>PROPER(TRIM(Table13232[[#This Row],[Horse]]))</f>
        <v>Slippin Jimmy</v>
      </c>
    </row>
    <row r="72" spans="1:23" x14ac:dyDescent="0.25">
      <c r="A72" s="43">
        <v>45689</v>
      </c>
      <c r="B72" s="44">
        <v>0.73263888888888884</v>
      </c>
      <c r="C72" s="44" t="s">
        <v>16</v>
      </c>
      <c r="D72" s="45">
        <v>10</v>
      </c>
      <c r="E72" s="45">
        <v>10</v>
      </c>
      <c r="F72" s="46" t="s">
        <v>373</v>
      </c>
      <c r="G72" s="46" t="s">
        <v>23</v>
      </c>
      <c r="H72" s="47"/>
      <c r="I72" s="52" t="s">
        <v>297</v>
      </c>
      <c r="J72" s="45" t="str">
        <f>VLOOKUP(Table13232[[#This Row],[Track]],$C$836:$E$882,2,FALSE)</f>
        <v>Vic</v>
      </c>
      <c r="K72" s="49">
        <v>100</v>
      </c>
      <c r="L72" s="45" t="str">
        <f>IF(Table13232[[#This Row],[Fin]]&lt;&gt;"1st","",Table13232[[#This Row],[Div]]*Table13232[[#This Row],[Lev Bet]])</f>
        <v/>
      </c>
      <c r="M72" s="45">
        <f>IF(Table13232[[#This Row],[Lev Ret]]="",Table13232[[#This Row],[Lev Bet]]*-1,L72-K72)</f>
        <v>-100</v>
      </c>
      <c r="N72" s="135">
        <v>50</v>
      </c>
      <c r="O72" s="135" t="str">
        <f>IF(Table13232[[#This Row],[Fin]]&lt;&gt;"1st","",Table13232[[#This Row],[Div]]*Table13232[[#This Row],[Nat and Combo Bet]])</f>
        <v/>
      </c>
      <c r="P72" s="135">
        <f>IF(Table13232[[#This Row],[Lev Ret]]="",Table13232[[#This Row],[Nat and Combo Bet]]*-1,O72-N72)</f>
        <v>-50</v>
      </c>
      <c r="Q72" s="50">
        <f t="shared" si="3"/>
        <v>1</v>
      </c>
      <c r="R72" s="50">
        <f>IF(AND(Q71=2,Q72=1),"",IF(Q72=2,(N72+N73)/2,IF(Table13232[[#This Row],[Dual Listing]]=1,Table13232[[#This Row],[Nat and Combo Bet]],11)))</f>
        <v>50</v>
      </c>
      <c r="S72" s="50" t="str">
        <f t="shared" si="4"/>
        <v/>
      </c>
      <c r="T72" s="50">
        <f t="shared" si="5"/>
        <v>-50</v>
      </c>
      <c r="U72" s="50" t="str">
        <f>IF(Table13232[[#This Row],[Date]]&lt;$U$4,"","Live")</f>
        <v/>
      </c>
      <c r="V72" s="45" t="str">
        <f>TEXT(Table13232[[#This Row],[Date]],"DDD")</f>
        <v>Sat</v>
      </c>
      <c r="W72" s="45" t="str">
        <f>PROPER(TRIM(Table13232[[#This Row],[Horse]]))</f>
        <v>Impending Link</v>
      </c>
    </row>
    <row r="73" spans="1:23" x14ac:dyDescent="0.25">
      <c r="A73" s="43">
        <v>45689</v>
      </c>
      <c r="B73" s="44">
        <v>0.73263888888888884</v>
      </c>
      <c r="C73" s="44" t="s">
        <v>16</v>
      </c>
      <c r="D73" s="45">
        <v>10</v>
      </c>
      <c r="E73" s="45">
        <v>11</v>
      </c>
      <c r="F73" s="46" t="s">
        <v>89</v>
      </c>
      <c r="G73" s="46" t="s">
        <v>21</v>
      </c>
      <c r="H73" s="47">
        <v>3.8</v>
      </c>
      <c r="I73" s="52" t="s">
        <v>297</v>
      </c>
      <c r="J73" s="45" t="str">
        <f>VLOOKUP(Table13232[[#This Row],[Track]],$C$836:$E$882,2,FALSE)</f>
        <v>Vic</v>
      </c>
      <c r="K73" s="49">
        <v>100</v>
      </c>
      <c r="L73" s="45">
        <f>IF(Table13232[[#This Row],[Fin]]&lt;&gt;"1st","",Table13232[[#This Row],[Div]]*Table13232[[#This Row],[Lev Bet]])</f>
        <v>380</v>
      </c>
      <c r="M73" s="45">
        <f>IF(Table13232[[#This Row],[Lev Ret]]="",Table13232[[#This Row],[Lev Bet]]*-1,L73-K73)</f>
        <v>280</v>
      </c>
      <c r="N73" s="135">
        <v>160</v>
      </c>
      <c r="O73" s="135">
        <f>IF(Table13232[[#This Row],[Fin]]&lt;&gt;"1st","",Table13232[[#This Row],[Div]]*Table13232[[#This Row],[Nat and Combo Bet]])</f>
        <v>608</v>
      </c>
      <c r="P73" s="135">
        <f>IF(Table13232[[#This Row],[Lev Ret]]="",Table13232[[#This Row],[Nat and Combo Bet]]*-1,O73-N73)</f>
        <v>448</v>
      </c>
      <c r="Q73" s="50">
        <f t="shared" si="3"/>
        <v>1</v>
      </c>
      <c r="R73" s="50">
        <f>IF(AND(Q72=2,Q73=1),"",IF(Q73=2,(N73+N74)/2,IF(Table13232[[#This Row],[Dual Listing]]=1,Table13232[[#This Row],[Nat and Combo Bet]],11)))</f>
        <v>160</v>
      </c>
      <c r="S73" s="50">
        <f t="shared" si="4"/>
        <v>608</v>
      </c>
      <c r="T73" s="50">
        <f t="shared" si="5"/>
        <v>448</v>
      </c>
      <c r="U73" s="50" t="str">
        <f>IF(Table13232[[#This Row],[Date]]&lt;$U$4,"","Live")</f>
        <v/>
      </c>
      <c r="V73" s="45" t="str">
        <f>TEXT(Table13232[[#This Row],[Date]],"DDD")</f>
        <v>Sat</v>
      </c>
      <c r="W73" s="45" t="str">
        <f>PROPER(TRIM(Table13232[[#This Row],[Horse]]))</f>
        <v>Name Dropper</v>
      </c>
    </row>
    <row r="74" spans="1:23" x14ac:dyDescent="0.25">
      <c r="A74" s="43">
        <v>45689</v>
      </c>
      <c r="B74" s="44">
        <v>0.74652777777777779</v>
      </c>
      <c r="C74" s="44" t="s">
        <v>11</v>
      </c>
      <c r="D74" s="45">
        <v>10</v>
      </c>
      <c r="E74" s="45">
        <v>8</v>
      </c>
      <c r="F74" s="46" t="s">
        <v>63</v>
      </c>
      <c r="G74" s="46" t="s">
        <v>21</v>
      </c>
      <c r="H74" s="47">
        <v>1.6</v>
      </c>
      <c r="I74" s="47" t="s">
        <v>298</v>
      </c>
      <c r="J74" s="45" t="str">
        <f>VLOOKUP(Table13232[[#This Row],[Track]],$C$836:$E$882,2,FALSE)</f>
        <v>NSW</v>
      </c>
      <c r="K74" s="49">
        <v>100</v>
      </c>
      <c r="L74" s="45">
        <f>IF(Table13232[[#This Row],[Fin]]&lt;&gt;"1st","",Table13232[[#This Row],[Div]]*Table13232[[#This Row],[Lev Bet]])</f>
        <v>160</v>
      </c>
      <c r="M74" s="45">
        <f>IF(Table13232[[#This Row],[Lev Ret]]="",Table13232[[#This Row],[Lev Bet]]*-1,L74-K74)</f>
        <v>60</v>
      </c>
      <c r="N74" s="135">
        <v>150</v>
      </c>
      <c r="O74" s="135">
        <f>IF(Table13232[[#This Row],[Fin]]&lt;&gt;"1st","",Table13232[[#This Row],[Div]]*Table13232[[#This Row],[Nat and Combo Bet]])</f>
        <v>240</v>
      </c>
      <c r="P74" s="135">
        <f>IF(Table13232[[#This Row],[Lev Ret]]="",Table13232[[#This Row],[Nat and Combo Bet]]*-1,O74-N74)</f>
        <v>90</v>
      </c>
      <c r="Q74" s="50">
        <f t="shared" si="3"/>
        <v>1</v>
      </c>
      <c r="R74" s="50">
        <f>IF(AND(Q73=2,Q74=1),"",IF(Q74=2,(N74+N75)/2,IF(Table13232[[#This Row],[Dual Listing]]=1,Table13232[[#This Row],[Nat and Combo Bet]],11)))</f>
        <v>150</v>
      </c>
      <c r="S74" s="50">
        <f t="shared" si="4"/>
        <v>240</v>
      </c>
      <c r="T74" s="50">
        <f t="shared" si="5"/>
        <v>90</v>
      </c>
      <c r="U74" s="50" t="str">
        <f>IF(Table13232[[#This Row],[Date]]&lt;$U$4,"","Live")</f>
        <v/>
      </c>
      <c r="V74" s="45" t="str">
        <f>TEXT(Table13232[[#This Row],[Date]],"DDD")</f>
        <v>Sat</v>
      </c>
      <c r="W74" s="45" t="str">
        <f>PROPER(TRIM(Table13232[[#This Row],[Horse]]))</f>
        <v>Yorkshire</v>
      </c>
    </row>
    <row r="75" spans="1:23" x14ac:dyDescent="0.25">
      <c r="A75" s="43">
        <v>45689</v>
      </c>
      <c r="B75" s="44">
        <v>0.75694444444444442</v>
      </c>
      <c r="C75" s="44" t="s">
        <v>9</v>
      </c>
      <c r="D75" s="45">
        <v>9</v>
      </c>
      <c r="E75" s="45">
        <v>10</v>
      </c>
      <c r="F75" s="46" t="s">
        <v>485</v>
      </c>
      <c r="G75" s="46"/>
      <c r="H75" s="47"/>
      <c r="I75" s="47" t="s">
        <v>298</v>
      </c>
      <c r="J75" s="45" t="str">
        <f>VLOOKUP(Table13232[[#This Row],[Track]],$C$836:$E$882,2,FALSE)</f>
        <v>Qld</v>
      </c>
      <c r="K75" s="49">
        <v>100</v>
      </c>
      <c r="L75" s="45" t="str">
        <f>IF(Table13232[[#This Row],[Fin]]&lt;&gt;"1st","",Table13232[[#This Row],[Div]]*Table13232[[#This Row],[Lev Bet]])</f>
        <v/>
      </c>
      <c r="M75" s="45">
        <f>IF(Table13232[[#This Row],[Lev Ret]]="",Table13232[[#This Row],[Lev Bet]]*-1,L75-K75)</f>
        <v>-100</v>
      </c>
      <c r="N75" s="135">
        <v>100</v>
      </c>
      <c r="O75" s="135" t="str">
        <f>IF(Table13232[[#This Row],[Fin]]&lt;&gt;"1st","",Table13232[[#This Row],[Div]]*Table13232[[#This Row],[Nat and Combo Bet]])</f>
        <v/>
      </c>
      <c r="P75" s="135">
        <f>IF(Table13232[[#This Row],[Lev Ret]]="",Table13232[[#This Row],[Nat and Combo Bet]]*-1,O75-N75)</f>
        <v>-100</v>
      </c>
      <c r="Q75" s="50">
        <f t="shared" si="3"/>
        <v>1</v>
      </c>
      <c r="R75" s="50">
        <f>IF(AND(Q74=2,Q75=1),"",IF(Q75=2,(N75+N76)/2,IF(Table13232[[#This Row],[Dual Listing]]=1,Table13232[[#This Row],[Nat and Combo Bet]],11)))</f>
        <v>100</v>
      </c>
      <c r="S75" s="50" t="str">
        <f t="shared" si="4"/>
        <v/>
      </c>
      <c r="T75" s="50">
        <f t="shared" si="5"/>
        <v>-100</v>
      </c>
      <c r="U75" s="50" t="str">
        <f>IF(Table13232[[#This Row],[Date]]&lt;$U$4,"","Live")</f>
        <v/>
      </c>
      <c r="V75" s="45" t="str">
        <f>TEXT(Table13232[[#This Row],[Date]],"DDD")</f>
        <v>Sat</v>
      </c>
      <c r="W75" s="45" t="str">
        <f>PROPER(TRIM(Table13232[[#This Row],[Horse]]))</f>
        <v>Russian Alliance</v>
      </c>
    </row>
    <row r="76" spans="1:23" x14ac:dyDescent="0.25">
      <c r="A76" s="43">
        <v>45696</v>
      </c>
      <c r="B76" s="44">
        <v>0.55555555555555558</v>
      </c>
      <c r="C76" s="44" t="s">
        <v>34</v>
      </c>
      <c r="D76" s="45">
        <v>3</v>
      </c>
      <c r="E76" s="45">
        <v>8</v>
      </c>
      <c r="F76" s="46" t="s">
        <v>91</v>
      </c>
      <c r="G76" s="46" t="s">
        <v>22</v>
      </c>
      <c r="H76" s="47"/>
      <c r="I76" s="52" t="s">
        <v>297</v>
      </c>
      <c r="J76" s="45" t="str">
        <f>VLOOKUP(Table13232[[#This Row],[Track]],$C$836:$E$882,2,FALSE)</f>
        <v>Vic</v>
      </c>
      <c r="K76" s="49">
        <v>100</v>
      </c>
      <c r="L76" s="45" t="str">
        <f>IF(Table13232[[#This Row],[Fin]]&lt;&gt;"1st","",Table13232[[#This Row],[Div]]*Table13232[[#This Row],[Lev Bet]])</f>
        <v/>
      </c>
      <c r="M76" s="45">
        <f>IF(Table13232[[#This Row],[Lev Ret]]="",Table13232[[#This Row],[Lev Bet]]*-1,L76-K76)</f>
        <v>-100</v>
      </c>
      <c r="N76" s="135">
        <v>200</v>
      </c>
      <c r="O76" s="135" t="str">
        <f>IF(Table13232[[#This Row],[Fin]]&lt;&gt;"1st","",Table13232[[#This Row],[Div]]*Table13232[[#This Row],[Nat and Combo Bet]])</f>
        <v/>
      </c>
      <c r="P76" s="135">
        <f>IF(Table13232[[#This Row],[Lev Ret]]="",Table13232[[#This Row],[Nat and Combo Bet]]*-1,O76-N76)</f>
        <v>-200</v>
      </c>
      <c r="Q76" s="50">
        <f t="shared" si="3"/>
        <v>1</v>
      </c>
      <c r="R76" s="50">
        <f>IF(AND(Q75=2,Q76=1),"",IF(Q76=2,(N76+N77)/2,IF(Table13232[[#This Row],[Dual Listing]]=1,Table13232[[#This Row],[Nat and Combo Bet]],11)))</f>
        <v>200</v>
      </c>
      <c r="S76" s="50" t="str">
        <f t="shared" si="4"/>
        <v/>
      </c>
      <c r="T76" s="50">
        <f t="shared" si="5"/>
        <v>-200</v>
      </c>
      <c r="U76" s="50" t="str">
        <f>IF(Table13232[[#This Row],[Date]]&lt;$U$4,"","Live")</f>
        <v/>
      </c>
      <c r="V76" s="45" t="str">
        <f>TEXT(Table13232[[#This Row],[Date]],"DDD")</f>
        <v>Sat</v>
      </c>
      <c r="W76" s="45" t="str">
        <f>PROPER(TRIM(Table13232[[#This Row],[Horse]]))</f>
        <v>Shaiyhar</v>
      </c>
    </row>
    <row r="77" spans="1:23" x14ac:dyDescent="0.25">
      <c r="A77" s="43">
        <v>45696</v>
      </c>
      <c r="B77" s="44">
        <v>0.57499999999999996</v>
      </c>
      <c r="C77" s="44" t="s">
        <v>9</v>
      </c>
      <c r="D77" s="45">
        <v>2</v>
      </c>
      <c r="E77" s="45">
        <v>3</v>
      </c>
      <c r="F77" s="46" t="s">
        <v>205</v>
      </c>
      <c r="G77" s="46" t="s">
        <v>21</v>
      </c>
      <c r="H77" s="47">
        <v>5</v>
      </c>
      <c r="I77" s="47" t="s">
        <v>298</v>
      </c>
      <c r="J77" s="45" t="str">
        <f>VLOOKUP(Table13232[[#This Row],[Track]],$C$836:$E$882,2,FALSE)</f>
        <v>Qld</v>
      </c>
      <c r="K77" s="49">
        <v>100</v>
      </c>
      <c r="L77" s="45">
        <f>IF(Table13232[[#This Row],[Fin]]&lt;&gt;"1st","",Table13232[[#This Row],[Div]]*Table13232[[#This Row],[Lev Bet]])</f>
        <v>500</v>
      </c>
      <c r="M77" s="45">
        <f>IF(Table13232[[#This Row],[Lev Ret]]="",Table13232[[#This Row],[Lev Bet]]*-1,L77-K77)</f>
        <v>400</v>
      </c>
      <c r="N77" s="135">
        <v>100</v>
      </c>
      <c r="O77" s="135">
        <f>IF(Table13232[[#This Row],[Fin]]&lt;&gt;"1st","",Table13232[[#This Row],[Div]]*Table13232[[#This Row],[Nat and Combo Bet]])</f>
        <v>500</v>
      </c>
      <c r="P77" s="135">
        <f>IF(Table13232[[#This Row],[Lev Ret]]="",Table13232[[#This Row],[Nat and Combo Bet]]*-1,O77-N77)</f>
        <v>400</v>
      </c>
      <c r="Q77" s="50">
        <f t="shared" si="3"/>
        <v>1</v>
      </c>
      <c r="R77" s="50">
        <f>IF(AND(Q76=2,Q77=1),"",IF(Q77=2,(N77+N78)/2,IF(Table13232[[#This Row],[Dual Listing]]=1,Table13232[[#This Row],[Nat and Combo Bet]],11)))</f>
        <v>100</v>
      </c>
      <c r="S77" s="50">
        <f t="shared" si="4"/>
        <v>500</v>
      </c>
      <c r="T77" s="50">
        <f t="shared" si="5"/>
        <v>400</v>
      </c>
      <c r="U77" s="50" t="str">
        <f>IF(Table13232[[#This Row],[Date]]&lt;$U$4,"","Live")</f>
        <v/>
      </c>
      <c r="V77" s="45" t="str">
        <f>TEXT(Table13232[[#This Row],[Date]],"DDD")</f>
        <v>Sat</v>
      </c>
      <c r="W77" s="45" t="str">
        <f>PROPER(TRIM(Table13232[[#This Row],[Horse]]))</f>
        <v>Just Flying</v>
      </c>
    </row>
    <row r="78" spans="1:23" x14ac:dyDescent="0.25">
      <c r="A78" s="43">
        <v>45696</v>
      </c>
      <c r="B78" s="44">
        <v>0.59930555555555554</v>
      </c>
      <c r="C78" s="44" t="s">
        <v>9</v>
      </c>
      <c r="D78" s="45">
        <v>3</v>
      </c>
      <c r="E78" s="45">
        <v>9</v>
      </c>
      <c r="F78" s="46" t="s">
        <v>486</v>
      </c>
      <c r="G78" s="46"/>
      <c r="H78" s="47"/>
      <c r="I78" s="47" t="s">
        <v>298</v>
      </c>
      <c r="J78" s="45" t="str">
        <f>VLOOKUP(Table13232[[#This Row],[Track]],$C$836:$E$882,2,FALSE)</f>
        <v>Qld</v>
      </c>
      <c r="K78" s="49">
        <v>100</v>
      </c>
      <c r="L78" s="45" t="str">
        <f>IF(Table13232[[#This Row],[Fin]]&lt;&gt;"1st","",Table13232[[#This Row],[Div]]*Table13232[[#This Row],[Lev Bet]])</f>
        <v/>
      </c>
      <c r="M78" s="45">
        <f>IF(Table13232[[#This Row],[Lev Ret]]="",Table13232[[#This Row],[Lev Bet]]*-1,L78-K78)</f>
        <v>-100</v>
      </c>
      <c r="N78" s="135">
        <v>100</v>
      </c>
      <c r="O78" s="135" t="str">
        <f>IF(Table13232[[#This Row],[Fin]]&lt;&gt;"1st","",Table13232[[#This Row],[Div]]*Table13232[[#This Row],[Nat and Combo Bet]])</f>
        <v/>
      </c>
      <c r="P78" s="135">
        <f>IF(Table13232[[#This Row],[Lev Ret]]="",Table13232[[#This Row],[Nat and Combo Bet]]*-1,O78-N78)</f>
        <v>-100</v>
      </c>
      <c r="Q78" s="50">
        <f t="shared" si="3"/>
        <v>1</v>
      </c>
      <c r="R78" s="50">
        <f>IF(AND(Q77=2,Q78=1),"",IF(Q78=2,(N78+N79)/2,IF(Table13232[[#This Row],[Dual Listing]]=1,Table13232[[#This Row],[Nat and Combo Bet]],11)))</f>
        <v>100</v>
      </c>
      <c r="S78" s="50" t="str">
        <f t="shared" si="4"/>
        <v/>
      </c>
      <c r="T78" s="50">
        <f t="shared" si="5"/>
        <v>-100</v>
      </c>
      <c r="U78" s="50" t="str">
        <f>IF(Table13232[[#This Row],[Date]]&lt;$U$4,"","Live")</f>
        <v/>
      </c>
      <c r="V78" s="45" t="str">
        <f>TEXT(Table13232[[#This Row],[Date]],"DDD")</f>
        <v>Sat</v>
      </c>
      <c r="W78" s="45" t="str">
        <f>PROPER(TRIM(Table13232[[#This Row],[Horse]]))</f>
        <v>Kairos Louie</v>
      </c>
    </row>
    <row r="79" spans="1:23" x14ac:dyDescent="0.25">
      <c r="A79" s="43">
        <v>45696</v>
      </c>
      <c r="B79" s="44">
        <v>0.62847222222222221</v>
      </c>
      <c r="C79" s="44" t="s">
        <v>34</v>
      </c>
      <c r="D79" s="45">
        <v>6</v>
      </c>
      <c r="E79" s="45">
        <v>2</v>
      </c>
      <c r="F79" s="46" t="s">
        <v>374</v>
      </c>
      <c r="G79" s="46"/>
      <c r="H79" s="47"/>
      <c r="I79" s="52" t="s">
        <v>297</v>
      </c>
      <c r="J79" s="45" t="str">
        <f>VLOOKUP(Table13232[[#This Row],[Track]],$C$836:$E$882,2,FALSE)</f>
        <v>Vic</v>
      </c>
      <c r="K79" s="49">
        <v>100</v>
      </c>
      <c r="L79" s="45" t="str">
        <f>IF(Table13232[[#This Row],[Fin]]&lt;&gt;"1st","",Table13232[[#This Row],[Div]]*Table13232[[#This Row],[Lev Bet]])</f>
        <v/>
      </c>
      <c r="M79" s="45">
        <f>IF(Table13232[[#This Row],[Lev Ret]]="",Table13232[[#This Row],[Lev Bet]]*-1,L79-K79)</f>
        <v>-100</v>
      </c>
      <c r="N79" s="135">
        <v>100</v>
      </c>
      <c r="O79" s="135" t="str">
        <f>IF(Table13232[[#This Row],[Fin]]&lt;&gt;"1st","",Table13232[[#This Row],[Div]]*Table13232[[#This Row],[Nat and Combo Bet]])</f>
        <v/>
      </c>
      <c r="P79" s="135">
        <f>IF(Table13232[[#This Row],[Lev Ret]]="",Table13232[[#This Row],[Nat and Combo Bet]]*-1,O79-N79)</f>
        <v>-100</v>
      </c>
      <c r="Q79" s="50">
        <f t="shared" si="3"/>
        <v>1</v>
      </c>
      <c r="R79" s="50">
        <f>IF(AND(Q78=2,Q79=1),"",IF(Q79=2,(N79+N80)/2,IF(Table13232[[#This Row],[Dual Listing]]=1,Table13232[[#This Row],[Nat and Combo Bet]],11)))</f>
        <v>100</v>
      </c>
      <c r="S79" s="50" t="str">
        <f t="shared" si="4"/>
        <v/>
      </c>
      <c r="T79" s="50">
        <f t="shared" si="5"/>
        <v>-100</v>
      </c>
      <c r="U79" s="50" t="str">
        <f>IF(Table13232[[#This Row],[Date]]&lt;$U$4,"","Live")</f>
        <v/>
      </c>
      <c r="V79" s="45" t="str">
        <f>TEXT(Table13232[[#This Row],[Date]],"DDD")</f>
        <v>Sat</v>
      </c>
      <c r="W79" s="45" t="str">
        <f>PROPER(TRIM(Table13232[[#This Row],[Horse]]))</f>
        <v>Maharba</v>
      </c>
    </row>
    <row r="80" spans="1:23" x14ac:dyDescent="0.25">
      <c r="A80" s="43">
        <v>45696</v>
      </c>
      <c r="B80" s="44">
        <v>0.62847222222222221</v>
      </c>
      <c r="C80" s="44" t="s">
        <v>34</v>
      </c>
      <c r="D80" s="45">
        <v>6</v>
      </c>
      <c r="E80" s="45">
        <v>4</v>
      </c>
      <c r="F80" s="46" t="s">
        <v>375</v>
      </c>
      <c r="G80" s="46" t="s">
        <v>21</v>
      </c>
      <c r="H80" s="47">
        <v>4.5999999999999996</v>
      </c>
      <c r="I80" s="52" t="s">
        <v>297</v>
      </c>
      <c r="J80" s="45" t="str">
        <f>VLOOKUP(Table13232[[#This Row],[Track]],$C$836:$E$882,2,FALSE)</f>
        <v>Vic</v>
      </c>
      <c r="K80" s="49">
        <v>100</v>
      </c>
      <c r="L80" s="45">
        <f>IF(Table13232[[#This Row],[Fin]]&lt;&gt;"1st","",Table13232[[#This Row],[Div]]*Table13232[[#This Row],[Lev Bet]])</f>
        <v>459.99999999999994</v>
      </c>
      <c r="M80" s="45">
        <f>IF(Table13232[[#This Row],[Lev Ret]]="",Table13232[[#This Row],[Lev Bet]]*-1,L80-K80)</f>
        <v>359.99999999999994</v>
      </c>
      <c r="N80" s="135">
        <v>160</v>
      </c>
      <c r="O80" s="135">
        <f>IF(Table13232[[#This Row],[Fin]]&lt;&gt;"1st","",Table13232[[#This Row],[Div]]*Table13232[[#This Row],[Nat and Combo Bet]])</f>
        <v>736</v>
      </c>
      <c r="P80" s="135">
        <f>IF(Table13232[[#This Row],[Lev Ret]]="",Table13232[[#This Row],[Nat and Combo Bet]]*-1,O80-N80)</f>
        <v>576</v>
      </c>
      <c r="Q80" s="50">
        <f t="shared" si="3"/>
        <v>1</v>
      </c>
      <c r="R80" s="50">
        <f>IF(AND(Q79=2,Q80=1),"",IF(Q80=2,(N80+N81)/2,IF(Table13232[[#This Row],[Dual Listing]]=1,Table13232[[#This Row],[Nat and Combo Bet]],11)))</f>
        <v>160</v>
      </c>
      <c r="S80" s="50">
        <f t="shared" si="4"/>
        <v>736</v>
      </c>
      <c r="T80" s="50">
        <f t="shared" si="5"/>
        <v>576</v>
      </c>
      <c r="U80" s="50" t="str">
        <f>IF(Table13232[[#This Row],[Date]]&lt;$U$4,"","Live")</f>
        <v/>
      </c>
      <c r="V80" s="45" t="str">
        <f>TEXT(Table13232[[#This Row],[Date]],"DDD")</f>
        <v>Sat</v>
      </c>
      <c r="W80" s="45" t="str">
        <f>PROPER(TRIM(Table13232[[#This Row],[Horse]]))</f>
        <v>Rey Magnerio</v>
      </c>
    </row>
    <row r="81" spans="1:23" x14ac:dyDescent="0.25">
      <c r="A81" s="43">
        <v>45696</v>
      </c>
      <c r="B81" s="44">
        <v>0.64236111111111116</v>
      </c>
      <c r="C81" s="44" t="s">
        <v>13</v>
      </c>
      <c r="D81" s="45">
        <v>6</v>
      </c>
      <c r="E81" s="45">
        <v>7</v>
      </c>
      <c r="F81" s="46" t="s">
        <v>56</v>
      </c>
      <c r="G81" s="46" t="s">
        <v>23</v>
      </c>
      <c r="H81" s="47"/>
      <c r="I81" s="52" t="s">
        <v>297</v>
      </c>
      <c r="J81" s="45" t="str">
        <f>VLOOKUP(Table13232[[#This Row],[Track]],$C$836:$E$882,2,FALSE)</f>
        <v>NSW</v>
      </c>
      <c r="K81" s="49">
        <v>100</v>
      </c>
      <c r="L81" s="45" t="str">
        <f>IF(Table13232[[#This Row],[Fin]]&lt;&gt;"1st","",Table13232[[#This Row],[Div]]*Table13232[[#This Row],[Lev Bet]])</f>
        <v/>
      </c>
      <c r="M81" s="45">
        <f>IF(Table13232[[#This Row],[Lev Ret]]="",Table13232[[#This Row],[Lev Bet]]*-1,L81-K81)</f>
        <v>-100</v>
      </c>
      <c r="N81" s="135">
        <v>150</v>
      </c>
      <c r="O81" s="135" t="str">
        <f>IF(Table13232[[#This Row],[Fin]]&lt;&gt;"1st","",Table13232[[#This Row],[Div]]*Table13232[[#This Row],[Nat and Combo Bet]])</f>
        <v/>
      </c>
      <c r="P81" s="135">
        <f>IF(Table13232[[#This Row],[Lev Ret]]="",Table13232[[#This Row],[Nat and Combo Bet]]*-1,O81-N81)</f>
        <v>-150</v>
      </c>
      <c r="Q81" s="50">
        <f t="shared" si="3"/>
        <v>1</v>
      </c>
      <c r="R81" s="50">
        <f>IF(AND(Q80=2,Q81=1),"",IF(Q81=2,(N81+N82)/2,IF(Table13232[[#This Row],[Dual Listing]]=1,Table13232[[#This Row],[Nat and Combo Bet]],11)))</f>
        <v>150</v>
      </c>
      <c r="S81" s="50" t="str">
        <f t="shared" si="4"/>
        <v/>
      </c>
      <c r="T81" s="50">
        <f t="shared" si="5"/>
        <v>-150</v>
      </c>
      <c r="U81" s="50" t="str">
        <f>IF(Table13232[[#This Row],[Date]]&lt;$U$4,"","Live")</f>
        <v/>
      </c>
      <c r="V81" s="45" t="str">
        <f>TEXT(Table13232[[#This Row],[Date]],"DDD")</f>
        <v>Sat</v>
      </c>
      <c r="W81" s="45" t="str">
        <f>PROPER(TRIM(Table13232[[#This Row],[Horse]]))</f>
        <v>The Black Cloud</v>
      </c>
    </row>
    <row r="82" spans="1:23" x14ac:dyDescent="0.25">
      <c r="A82" s="109">
        <v>45696</v>
      </c>
      <c r="B82" s="53">
        <v>0.65277777777777779</v>
      </c>
      <c r="C82" s="110" t="s">
        <v>34</v>
      </c>
      <c r="D82" s="111">
        <v>7</v>
      </c>
      <c r="E82" s="111">
        <v>2</v>
      </c>
      <c r="F82" s="112" t="s">
        <v>376</v>
      </c>
      <c r="G82" s="112" t="s">
        <v>21</v>
      </c>
      <c r="H82" s="113">
        <v>3</v>
      </c>
      <c r="I82" s="114" t="s">
        <v>297</v>
      </c>
      <c r="J82" s="45" t="str">
        <f>VLOOKUP(Table13232[[#This Row],[Track]],$C$836:$E$882,2,FALSE)</f>
        <v>Vic</v>
      </c>
      <c r="K82" s="55">
        <v>100</v>
      </c>
      <c r="L82" s="54">
        <f>IF(Table13232[[#This Row],[Fin]]&lt;&gt;"1st","",Table13232[[#This Row],[Div]]*Table13232[[#This Row],[Lev Bet]])</f>
        <v>300</v>
      </c>
      <c r="M82" s="54">
        <f>IF(Table13232[[#This Row],[Lev Ret]]="",Table13232[[#This Row],[Lev Bet]]*-1,L82-K82)</f>
        <v>200</v>
      </c>
      <c r="N82" s="135">
        <v>120</v>
      </c>
      <c r="O82" s="135">
        <f>IF(Table13232[[#This Row],[Fin]]&lt;&gt;"1st","",Table13232[[#This Row],[Div]]*Table13232[[#This Row],[Nat and Combo Bet]])</f>
        <v>360</v>
      </c>
      <c r="P82" s="135">
        <f>IF(Table13232[[#This Row],[Lev Ret]]="",Table13232[[#This Row],[Nat and Combo Bet]]*-1,O82-N82)</f>
        <v>240</v>
      </c>
      <c r="Q82" s="50">
        <f t="shared" si="3"/>
        <v>2</v>
      </c>
      <c r="R82" s="50">
        <f>IF(AND(Q81=2,Q82=1),"",IF(Q82=2,(N82+N83)/2,IF(Table13232[[#This Row],[Dual Listing]]=1,Table13232[[#This Row],[Nat and Combo Bet]],11)))</f>
        <v>110</v>
      </c>
      <c r="S82" s="50">
        <f t="shared" si="4"/>
        <v>330</v>
      </c>
      <c r="T82" s="50">
        <f t="shared" si="5"/>
        <v>220</v>
      </c>
      <c r="U82" s="50" t="str">
        <f>IF(Table13232[[#This Row],[Date]]&lt;$U$4,"","Live")</f>
        <v/>
      </c>
      <c r="V82" s="45" t="str">
        <f>TEXT(Table13232[[#This Row],[Date]],"DDD")</f>
        <v>Sat</v>
      </c>
      <c r="W82" s="45" t="str">
        <f>PROPER(TRIM(Table13232[[#This Row],[Horse]]))</f>
        <v>Angel Capital</v>
      </c>
    </row>
    <row r="83" spans="1:23" x14ac:dyDescent="0.25">
      <c r="A83" s="109">
        <v>45696</v>
      </c>
      <c r="B83" s="53">
        <v>0.65277777777777779</v>
      </c>
      <c r="C83" s="110" t="s">
        <v>34</v>
      </c>
      <c r="D83" s="111">
        <v>7</v>
      </c>
      <c r="E83" s="111">
        <v>2</v>
      </c>
      <c r="F83" s="112" t="s">
        <v>376</v>
      </c>
      <c r="G83" s="112" t="s">
        <v>21</v>
      </c>
      <c r="H83" s="113">
        <v>3</v>
      </c>
      <c r="I83" s="113" t="s">
        <v>298</v>
      </c>
      <c r="J83" s="45" t="str">
        <f>VLOOKUP(Table13232[[#This Row],[Track]],$C$836:$E$882,2,FALSE)</f>
        <v>Vic</v>
      </c>
      <c r="K83" s="55">
        <v>100</v>
      </c>
      <c r="L83" s="54">
        <f>IF(Table13232[[#This Row],[Fin]]&lt;&gt;"1st","",Table13232[[#This Row],[Div]]*Table13232[[#This Row],[Lev Bet]])</f>
        <v>300</v>
      </c>
      <c r="M83" s="54">
        <f>IF(Table13232[[#This Row],[Lev Ret]]="",Table13232[[#This Row],[Lev Bet]]*-1,L83-K83)</f>
        <v>200</v>
      </c>
      <c r="N83" s="135">
        <v>100</v>
      </c>
      <c r="O83" s="135">
        <f>IF(Table13232[[#This Row],[Fin]]&lt;&gt;"1st","",Table13232[[#This Row],[Div]]*Table13232[[#This Row],[Nat and Combo Bet]])</f>
        <v>300</v>
      </c>
      <c r="P83" s="135">
        <f>IF(Table13232[[#This Row],[Lev Ret]]="",Table13232[[#This Row],[Nat and Combo Bet]]*-1,O83-N83)</f>
        <v>200</v>
      </c>
      <c r="Q83" s="50">
        <f t="shared" si="3"/>
        <v>1</v>
      </c>
      <c r="R83" s="50" t="str">
        <f>IF(AND(Q82=2,Q83=1),"",IF(Q83=2,(N83+N84)/2,IF(Table13232[[#This Row],[Dual Listing]]=1,Table13232[[#This Row],[Nat and Combo Bet]],11)))</f>
        <v/>
      </c>
      <c r="S83" s="50" t="str">
        <f t="shared" si="4"/>
        <v/>
      </c>
      <c r="T83" s="50" t="str">
        <f t="shared" si="5"/>
        <v/>
      </c>
      <c r="U83" s="50" t="str">
        <f>IF(Table13232[[#This Row],[Date]]&lt;$U$4,"","Live")</f>
        <v/>
      </c>
      <c r="V83" s="45" t="str">
        <f>TEXT(Table13232[[#This Row],[Date]],"DDD")</f>
        <v>Sat</v>
      </c>
      <c r="W83" s="45" t="str">
        <f>PROPER(TRIM(Table13232[[#This Row],[Horse]]))</f>
        <v>Angel Capital</v>
      </c>
    </row>
    <row r="84" spans="1:23" x14ac:dyDescent="0.25">
      <c r="A84" s="43">
        <v>45696</v>
      </c>
      <c r="B84" s="44">
        <v>0.67708333333333337</v>
      </c>
      <c r="C84" s="44" t="s">
        <v>34</v>
      </c>
      <c r="D84" s="45">
        <v>8</v>
      </c>
      <c r="E84" s="45">
        <v>4</v>
      </c>
      <c r="F84" s="46" t="s">
        <v>380</v>
      </c>
      <c r="G84" s="46" t="s">
        <v>22</v>
      </c>
      <c r="H84" s="47"/>
      <c r="I84" s="47" t="s">
        <v>298</v>
      </c>
      <c r="J84" s="45" t="str">
        <f>VLOOKUP(Table13232[[#This Row],[Track]],$C$836:$E$882,2,FALSE)</f>
        <v>Vic</v>
      </c>
      <c r="K84" s="49">
        <v>100</v>
      </c>
      <c r="L84" s="45" t="str">
        <f>IF(Table13232[[#This Row],[Fin]]&lt;&gt;"1st","",Table13232[[#This Row],[Div]]*Table13232[[#This Row],[Lev Bet]])</f>
        <v/>
      </c>
      <c r="M84" s="45">
        <f>IF(Table13232[[#This Row],[Lev Ret]]="",Table13232[[#This Row],[Lev Bet]]*-1,L84-K84)</f>
        <v>-100</v>
      </c>
      <c r="N84" s="135">
        <v>100</v>
      </c>
      <c r="O84" s="135" t="str">
        <f>IF(Table13232[[#This Row],[Fin]]&lt;&gt;"1st","",Table13232[[#This Row],[Div]]*Table13232[[#This Row],[Nat and Combo Bet]])</f>
        <v/>
      </c>
      <c r="P84" s="135">
        <f>IF(Table13232[[#This Row],[Lev Ret]]="",Table13232[[#This Row],[Nat and Combo Bet]]*-1,O84-N84)</f>
        <v>-100</v>
      </c>
      <c r="Q84" s="50">
        <f t="shared" si="3"/>
        <v>1</v>
      </c>
      <c r="R84" s="50">
        <f>IF(AND(Q83=2,Q84=1),"",IF(Q84=2,(N84+N85)/2,IF(Table13232[[#This Row],[Dual Listing]]=1,Table13232[[#This Row],[Nat and Combo Bet]],11)))</f>
        <v>100</v>
      </c>
      <c r="S84" s="50" t="str">
        <f t="shared" si="4"/>
        <v/>
      </c>
      <c r="T84" s="50">
        <f t="shared" si="5"/>
        <v>-100</v>
      </c>
      <c r="U84" s="50" t="str">
        <f>IF(Table13232[[#This Row],[Date]]&lt;$U$4,"","Live")</f>
        <v/>
      </c>
      <c r="V84" s="45" t="str">
        <f>TEXT(Table13232[[#This Row],[Date]],"DDD")</f>
        <v>Sat</v>
      </c>
      <c r="W84" s="45" t="str">
        <f>PROPER(TRIM(Table13232[[#This Row],[Horse]]))</f>
        <v>Chorlton Lane</v>
      </c>
    </row>
    <row r="85" spans="1:23" x14ac:dyDescent="0.25">
      <c r="A85" s="43">
        <v>45696</v>
      </c>
      <c r="B85" s="44">
        <v>0.67708333333333337</v>
      </c>
      <c r="C85" s="44" t="s">
        <v>34</v>
      </c>
      <c r="D85" s="45">
        <v>8</v>
      </c>
      <c r="E85" s="45">
        <v>11</v>
      </c>
      <c r="F85" s="46" t="s">
        <v>377</v>
      </c>
      <c r="G85" s="46" t="s">
        <v>23</v>
      </c>
      <c r="H85" s="47"/>
      <c r="I85" s="52" t="s">
        <v>297</v>
      </c>
      <c r="J85" s="45" t="str">
        <f>VLOOKUP(Table13232[[#This Row],[Track]],$C$836:$E$882,2,FALSE)</f>
        <v>Vic</v>
      </c>
      <c r="K85" s="49">
        <v>100</v>
      </c>
      <c r="L85" s="45" t="str">
        <f>IF(Table13232[[#This Row],[Fin]]&lt;&gt;"1st","",Table13232[[#This Row],[Div]]*Table13232[[#This Row],[Lev Bet]])</f>
        <v/>
      </c>
      <c r="M85" s="45">
        <f>IF(Table13232[[#This Row],[Lev Ret]]="",Table13232[[#This Row],[Lev Bet]]*-1,L85-K85)</f>
        <v>-100</v>
      </c>
      <c r="N85" s="135">
        <v>200</v>
      </c>
      <c r="O85" s="135" t="str">
        <f>IF(Table13232[[#This Row],[Fin]]&lt;&gt;"1st","",Table13232[[#This Row],[Div]]*Table13232[[#This Row],[Nat and Combo Bet]])</f>
        <v/>
      </c>
      <c r="P85" s="135">
        <f>IF(Table13232[[#This Row],[Lev Ret]]="",Table13232[[#This Row],[Nat and Combo Bet]]*-1,O85-N85)</f>
        <v>-200</v>
      </c>
      <c r="Q85" s="50">
        <f t="shared" si="3"/>
        <v>1</v>
      </c>
      <c r="R85" s="50">
        <f>IF(AND(Q84=2,Q85=1),"",IF(Q85=2,(N85+N86)/2,IF(Table13232[[#This Row],[Dual Listing]]=1,Table13232[[#This Row],[Nat and Combo Bet]],11)))</f>
        <v>200</v>
      </c>
      <c r="S85" s="50" t="str">
        <f t="shared" si="4"/>
        <v/>
      </c>
      <c r="T85" s="50">
        <f t="shared" si="5"/>
        <v>-200</v>
      </c>
      <c r="U85" s="50" t="str">
        <f>IF(Table13232[[#This Row],[Date]]&lt;$U$4,"","Live")</f>
        <v/>
      </c>
      <c r="V85" s="45" t="str">
        <f>TEXT(Table13232[[#This Row],[Date]],"DDD")</f>
        <v>Sat</v>
      </c>
      <c r="W85" s="45" t="str">
        <f>PROPER(TRIM(Table13232[[#This Row],[Horse]]))</f>
        <v>Marble Arch</v>
      </c>
    </row>
    <row r="86" spans="1:23" x14ac:dyDescent="0.25">
      <c r="A86" s="43">
        <v>45696</v>
      </c>
      <c r="B86" s="44">
        <v>0.69097222222222221</v>
      </c>
      <c r="C86" s="44" t="s">
        <v>13</v>
      </c>
      <c r="D86" s="45">
        <v>8</v>
      </c>
      <c r="E86" s="45">
        <v>2</v>
      </c>
      <c r="F86" s="46" t="s">
        <v>70</v>
      </c>
      <c r="G86" s="46" t="s">
        <v>22</v>
      </c>
      <c r="H86" s="47"/>
      <c r="I86" s="47" t="s">
        <v>298</v>
      </c>
      <c r="J86" s="45" t="str">
        <f>VLOOKUP(Table13232[[#This Row],[Track]],$C$836:$E$882,2,FALSE)</f>
        <v>NSW</v>
      </c>
      <c r="K86" s="49">
        <v>100</v>
      </c>
      <c r="L86" s="45" t="str">
        <f>IF(Table13232[[#This Row],[Fin]]&lt;&gt;"1st","",Table13232[[#This Row],[Div]]*Table13232[[#This Row],[Lev Bet]])</f>
        <v/>
      </c>
      <c r="M86" s="45">
        <f>IF(Table13232[[#This Row],[Lev Ret]]="",Table13232[[#This Row],[Lev Bet]]*-1,L86-K86)</f>
        <v>-100</v>
      </c>
      <c r="N86" s="135">
        <v>150</v>
      </c>
      <c r="O86" s="135" t="str">
        <f>IF(Table13232[[#This Row],[Fin]]&lt;&gt;"1st","",Table13232[[#This Row],[Div]]*Table13232[[#This Row],[Nat and Combo Bet]])</f>
        <v/>
      </c>
      <c r="P86" s="135">
        <f>IF(Table13232[[#This Row],[Lev Ret]]="",Table13232[[#This Row],[Nat and Combo Bet]]*-1,O86-N86)</f>
        <v>-150</v>
      </c>
      <c r="Q86" s="50">
        <f t="shared" si="3"/>
        <v>1</v>
      </c>
      <c r="R86" s="50">
        <f>IF(AND(Q85=2,Q86=1),"",IF(Q86=2,(N86+N87)/2,IF(Table13232[[#This Row],[Dual Listing]]=1,Table13232[[#This Row],[Nat and Combo Bet]],11)))</f>
        <v>150</v>
      </c>
      <c r="S86" s="50" t="str">
        <f t="shared" si="4"/>
        <v/>
      </c>
      <c r="T86" s="50">
        <f t="shared" si="5"/>
        <v>-150</v>
      </c>
      <c r="U86" s="50" t="str">
        <f>IF(Table13232[[#This Row],[Date]]&lt;$U$4,"","Live")</f>
        <v/>
      </c>
      <c r="V86" s="45" t="str">
        <f>TEXT(Table13232[[#This Row],[Date]],"DDD")</f>
        <v>Sat</v>
      </c>
      <c r="W86" s="45" t="str">
        <f>PROPER(TRIM(Table13232[[#This Row],[Horse]]))</f>
        <v>Gatsbys</v>
      </c>
    </row>
    <row r="87" spans="1:23" x14ac:dyDescent="0.25">
      <c r="A87" s="43">
        <v>45696</v>
      </c>
      <c r="B87" s="44">
        <v>0.69930555555555551</v>
      </c>
      <c r="C87" s="44" t="s">
        <v>9</v>
      </c>
      <c r="D87" s="45">
        <v>7</v>
      </c>
      <c r="E87" s="45">
        <v>6</v>
      </c>
      <c r="F87" s="46" t="s">
        <v>487</v>
      </c>
      <c r="G87" s="46"/>
      <c r="H87" s="47"/>
      <c r="I87" s="47" t="s">
        <v>298</v>
      </c>
      <c r="J87" s="45" t="str">
        <f>VLOOKUP(Table13232[[#This Row],[Track]],$C$836:$E$882,2,FALSE)</f>
        <v>Qld</v>
      </c>
      <c r="K87" s="49">
        <v>100</v>
      </c>
      <c r="L87" s="45" t="str">
        <f>IF(Table13232[[#This Row],[Fin]]&lt;&gt;"1st","",Table13232[[#This Row],[Div]]*Table13232[[#This Row],[Lev Bet]])</f>
        <v/>
      </c>
      <c r="M87" s="45">
        <f>IF(Table13232[[#This Row],[Lev Ret]]="",Table13232[[#This Row],[Lev Bet]]*-1,L87-K87)</f>
        <v>-100</v>
      </c>
      <c r="N87" s="135">
        <v>100</v>
      </c>
      <c r="O87" s="135" t="str">
        <f>IF(Table13232[[#This Row],[Fin]]&lt;&gt;"1st","",Table13232[[#This Row],[Div]]*Table13232[[#This Row],[Nat and Combo Bet]])</f>
        <v/>
      </c>
      <c r="P87" s="135">
        <f>IF(Table13232[[#This Row],[Lev Ret]]="",Table13232[[#This Row],[Nat and Combo Bet]]*-1,O87-N87)</f>
        <v>-100</v>
      </c>
      <c r="Q87" s="50">
        <f t="shared" si="3"/>
        <v>1</v>
      </c>
      <c r="R87" s="50">
        <f>IF(AND(Q86=2,Q87=1),"",IF(Q87=2,(N87+N88)/2,IF(Table13232[[#This Row],[Dual Listing]]=1,Table13232[[#This Row],[Nat and Combo Bet]],11)))</f>
        <v>100</v>
      </c>
      <c r="S87" s="50" t="str">
        <f t="shared" si="4"/>
        <v/>
      </c>
      <c r="T87" s="50">
        <f t="shared" si="5"/>
        <v>-100</v>
      </c>
      <c r="U87" s="50" t="str">
        <f>IF(Table13232[[#This Row],[Date]]&lt;$U$4,"","Live")</f>
        <v/>
      </c>
      <c r="V87" s="45" t="str">
        <f>TEXT(Table13232[[#This Row],[Date]],"DDD")</f>
        <v>Sat</v>
      </c>
      <c r="W87" s="45" t="str">
        <f>PROPER(TRIM(Table13232[[#This Row],[Horse]]))</f>
        <v>Caprice Des Dieux</v>
      </c>
    </row>
    <row r="88" spans="1:23" x14ac:dyDescent="0.25">
      <c r="A88" s="43">
        <v>45696</v>
      </c>
      <c r="B88" s="44">
        <v>0.70486111111111116</v>
      </c>
      <c r="C88" s="44" t="s">
        <v>34</v>
      </c>
      <c r="D88" s="45">
        <v>9</v>
      </c>
      <c r="E88" s="45">
        <v>5</v>
      </c>
      <c r="F88" s="46" t="s">
        <v>43</v>
      </c>
      <c r="G88" s="46" t="s">
        <v>21</v>
      </c>
      <c r="H88" s="47">
        <v>3.3</v>
      </c>
      <c r="I88" s="52" t="s">
        <v>297</v>
      </c>
      <c r="J88" s="45" t="str">
        <f>VLOOKUP(Table13232[[#This Row],[Track]],$C$836:$E$882,2,FALSE)</f>
        <v>Vic</v>
      </c>
      <c r="K88" s="49">
        <v>100</v>
      </c>
      <c r="L88" s="45">
        <f>IF(Table13232[[#This Row],[Fin]]&lt;&gt;"1st","",Table13232[[#This Row],[Div]]*Table13232[[#This Row],[Lev Bet]])</f>
        <v>330</v>
      </c>
      <c r="M88" s="45">
        <f>IF(Table13232[[#This Row],[Lev Ret]]="",Table13232[[#This Row],[Lev Bet]]*-1,L88-K88)</f>
        <v>230</v>
      </c>
      <c r="N88" s="135">
        <v>100</v>
      </c>
      <c r="O88" s="135">
        <f>IF(Table13232[[#This Row],[Fin]]&lt;&gt;"1st","",Table13232[[#This Row],[Div]]*Table13232[[#This Row],[Nat and Combo Bet]])</f>
        <v>330</v>
      </c>
      <c r="P88" s="135">
        <f>IF(Table13232[[#This Row],[Lev Ret]]="",Table13232[[#This Row],[Nat and Combo Bet]]*-1,O88-N88)</f>
        <v>230</v>
      </c>
      <c r="Q88" s="50">
        <f t="shared" si="3"/>
        <v>1</v>
      </c>
      <c r="R88" s="50">
        <f>IF(AND(Q87=2,Q88=1),"",IF(Q88=2,(N88+N89)/2,IF(Table13232[[#This Row],[Dual Listing]]=1,Table13232[[#This Row],[Nat and Combo Bet]],11)))</f>
        <v>100</v>
      </c>
      <c r="S88" s="50">
        <f t="shared" si="4"/>
        <v>330</v>
      </c>
      <c r="T88" s="50">
        <f t="shared" si="5"/>
        <v>230</v>
      </c>
      <c r="U88" s="50" t="str">
        <f>IF(Table13232[[#This Row],[Date]]&lt;$U$4,"","Live")</f>
        <v/>
      </c>
      <c r="V88" s="45" t="str">
        <f>TEXT(Table13232[[#This Row],[Date]],"DDD")</f>
        <v>Sat</v>
      </c>
      <c r="W88" s="45" t="str">
        <f>PROPER(TRIM(Table13232[[#This Row],[Horse]]))</f>
        <v>Another Wil</v>
      </c>
    </row>
    <row r="89" spans="1:23" x14ac:dyDescent="0.25">
      <c r="A89" s="109">
        <v>45696</v>
      </c>
      <c r="B89" s="53">
        <v>0.70486111111111116</v>
      </c>
      <c r="C89" s="110" t="s">
        <v>34</v>
      </c>
      <c r="D89" s="111">
        <v>9</v>
      </c>
      <c r="E89" s="111">
        <v>1</v>
      </c>
      <c r="F89" s="112" t="s">
        <v>42</v>
      </c>
      <c r="G89" s="112" t="s">
        <v>23</v>
      </c>
      <c r="H89" s="113"/>
      <c r="I89" s="114" t="s">
        <v>297</v>
      </c>
      <c r="J89" s="45" t="str">
        <f>VLOOKUP(Table13232[[#This Row],[Track]],$C$836:$E$882,2,FALSE)</f>
        <v>Vic</v>
      </c>
      <c r="K89" s="55">
        <v>100</v>
      </c>
      <c r="L89" s="54" t="str">
        <f>IF(Table13232[[#This Row],[Fin]]&lt;&gt;"1st","",Table13232[[#This Row],[Div]]*Table13232[[#This Row],[Lev Bet]])</f>
        <v/>
      </c>
      <c r="M89" s="54">
        <f>IF(Table13232[[#This Row],[Lev Ret]]="",Table13232[[#This Row],[Lev Bet]]*-1,L89-K89)</f>
        <v>-100</v>
      </c>
      <c r="N89" s="135">
        <v>130</v>
      </c>
      <c r="O89" s="135" t="str">
        <f>IF(Table13232[[#This Row],[Fin]]&lt;&gt;"1st","",Table13232[[#This Row],[Div]]*Table13232[[#This Row],[Nat and Combo Bet]])</f>
        <v/>
      </c>
      <c r="P89" s="135">
        <f>IF(Table13232[[#This Row],[Lev Ret]]="",Table13232[[#This Row],[Nat and Combo Bet]]*-1,O89-N89)</f>
        <v>-130</v>
      </c>
      <c r="Q89" s="50">
        <f t="shared" si="3"/>
        <v>2</v>
      </c>
      <c r="R89" s="50">
        <f>IF(AND(Q88=2,Q89=1),"",IF(Q89=2,(N89+N90)/2,IF(Table13232[[#This Row],[Dual Listing]]=1,Table13232[[#This Row],[Nat and Combo Bet]],11)))</f>
        <v>165</v>
      </c>
      <c r="S89" s="50" t="str">
        <f t="shared" si="4"/>
        <v/>
      </c>
      <c r="T89" s="50">
        <f t="shared" si="5"/>
        <v>-165</v>
      </c>
      <c r="U89" s="50" t="str">
        <f>IF(Table13232[[#This Row],[Date]]&lt;$U$4,"","Live")</f>
        <v/>
      </c>
      <c r="V89" s="45" t="str">
        <f>TEXT(Table13232[[#This Row],[Date]],"DDD")</f>
        <v>Sat</v>
      </c>
      <c r="W89" s="45" t="str">
        <f>PROPER(TRIM(Table13232[[#This Row],[Horse]]))</f>
        <v>Mr Brightside</v>
      </c>
    </row>
    <row r="90" spans="1:23" x14ac:dyDescent="0.25">
      <c r="A90" s="109">
        <v>45696</v>
      </c>
      <c r="B90" s="53">
        <v>0.70486111111111116</v>
      </c>
      <c r="C90" s="110" t="s">
        <v>34</v>
      </c>
      <c r="D90" s="111">
        <v>9</v>
      </c>
      <c r="E90" s="111">
        <v>1</v>
      </c>
      <c r="F90" s="112" t="s">
        <v>42</v>
      </c>
      <c r="G90" s="112" t="s">
        <v>23</v>
      </c>
      <c r="H90" s="113"/>
      <c r="I90" s="113" t="s">
        <v>298</v>
      </c>
      <c r="J90" s="45" t="str">
        <f>VLOOKUP(Table13232[[#This Row],[Track]],$C$836:$E$882,2,FALSE)</f>
        <v>Vic</v>
      </c>
      <c r="K90" s="55">
        <v>100</v>
      </c>
      <c r="L90" s="54" t="str">
        <f>IF(Table13232[[#This Row],[Fin]]&lt;&gt;"1st","",Table13232[[#This Row],[Div]]*Table13232[[#This Row],[Lev Bet]])</f>
        <v/>
      </c>
      <c r="M90" s="54">
        <f>IF(Table13232[[#This Row],[Lev Ret]]="",Table13232[[#This Row],[Lev Bet]]*-1,L90-K90)</f>
        <v>-100</v>
      </c>
      <c r="N90" s="135">
        <v>200</v>
      </c>
      <c r="O90" s="135" t="str">
        <f>IF(Table13232[[#This Row],[Fin]]&lt;&gt;"1st","",Table13232[[#This Row],[Div]]*Table13232[[#This Row],[Nat and Combo Bet]])</f>
        <v/>
      </c>
      <c r="P90" s="135">
        <f>IF(Table13232[[#This Row],[Lev Ret]]="",Table13232[[#This Row],[Nat and Combo Bet]]*-1,O90-N90)</f>
        <v>-200</v>
      </c>
      <c r="Q90" s="50">
        <f t="shared" si="3"/>
        <v>1</v>
      </c>
      <c r="R90" s="50" t="str">
        <f>IF(AND(Q89=2,Q90=1),"",IF(Q90=2,(N90+N91)/2,IF(Table13232[[#This Row],[Dual Listing]]=1,Table13232[[#This Row],[Nat and Combo Bet]],11)))</f>
        <v/>
      </c>
      <c r="S90" s="50" t="str">
        <f t="shared" si="4"/>
        <v/>
      </c>
      <c r="T90" s="50" t="str">
        <f t="shared" si="5"/>
        <v/>
      </c>
      <c r="U90" s="50" t="str">
        <f>IF(Table13232[[#This Row],[Date]]&lt;$U$4,"","Live")</f>
        <v/>
      </c>
      <c r="V90" s="45" t="str">
        <f>TEXT(Table13232[[#This Row],[Date]],"DDD")</f>
        <v>Sat</v>
      </c>
      <c r="W90" s="45" t="str">
        <f>PROPER(TRIM(Table13232[[#This Row],[Horse]]))</f>
        <v>Mr Brightside</v>
      </c>
    </row>
    <row r="91" spans="1:23" x14ac:dyDescent="0.25">
      <c r="A91" s="43">
        <v>45696</v>
      </c>
      <c r="B91" s="44">
        <v>0.73263888888888884</v>
      </c>
      <c r="C91" s="44" t="s">
        <v>34</v>
      </c>
      <c r="D91" s="45">
        <v>10</v>
      </c>
      <c r="E91" s="45">
        <v>4</v>
      </c>
      <c r="F91" s="46" t="s">
        <v>296</v>
      </c>
      <c r="G91" s="46" t="s">
        <v>21</v>
      </c>
      <c r="H91" s="47">
        <v>2.7</v>
      </c>
      <c r="I91" s="47" t="s">
        <v>298</v>
      </c>
      <c r="J91" s="45" t="str">
        <f>VLOOKUP(Table13232[[#This Row],[Track]],$C$836:$E$882,2,FALSE)</f>
        <v>Vic</v>
      </c>
      <c r="K91" s="49">
        <v>100</v>
      </c>
      <c r="L91" s="45">
        <f>IF(Table13232[[#This Row],[Fin]]&lt;&gt;"1st","",Table13232[[#This Row],[Div]]*Table13232[[#This Row],[Lev Bet]])</f>
        <v>270</v>
      </c>
      <c r="M91" s="45">
        <f>IF(Table13232[[#This Row],[Lev Ret]]="",Table13232[[#This Row],[Lev Bet]]*-1,L91-K91)</f>
        <v>170</v>
      </c>
      <c r="N91" s="135">
        <v>100</v>
      </c>
      <c r="O91" s="135">
        <f>IF(Table13232[[#This Row],[Fin]]&lt;&gt;"1st","",Table13232[[#This Row],[Div]]*Table13232[[#This Row],[Nat and Combo Bet]])</f>
        <v>270</v>
      </c>
      <c r="P91" s="135">
        <f>IF(Table13232[[#This Row],[Lev Ret]]="",Table13232[[#This Row],[Nat and Combo Bet]]*-1,O91-N91)</f>
        <v>170</v>
      </c>
      <c r="Q91" s="50">
        <f t="shared" si="3"/>
        <v>1</v>
      </c>
      <c r="R91" s="50">
        <f>IF(AND(Q90=2,Q91=1),"",IF(Q91=2,(N91+N92)/2,IF(Table13232[[#This Row],[Dual Listing]]=1,Table13232[[#This Row],[Nat and Combo Bet]],11)))</f>
        <v>100</v>
      </c>
      <c r="S91" s="50">
        <f t="shared" si="4"/>
        <v>270</v>
      </c>
      <c r="T91" s="50">
        <f t="shared" si="5"/>
        <v>170</v>
      </c>
      <c r="U91" s="50" t="str">
        <f>IF(Table13232[[#This Row],[Date]]&lt;$U$4,"","Live")</f>
        <v/>
      </c>
      <c r="V91" s="45" t="str">
        <f>TEXT(Table13232[[#This Row],[Date]],"DDD")</f>
        <v>Sat</v>
      </c>
      <c r="W91" s="45" t="str">
        <f>PROPER(TRIM(Table13232[[#This Row],[Horse]]))</f>
        <v>Arabian Summer</v>
      </c>
    </row>
    <row r="92" spans="1:23" x14ac:dyDescent="0.25">
      <c r="A92" s="43">
        <v>45696</v>
      </c>
      <c r="B92" s="44">
        <v>0.75694444444444442</v>
      </c>
      <c r="C92" s="44" t="s">
        <v>9</v>
      </c>
      <c r="D92" s="45">
        <v>9</v>
      </c>
      <c r="E92" s="45">
        <v>13</v>
      </c>
      <c r="F92" s="46" t="s">
        <v>488</v>
      </c>
      <c r="G92" s="46"/>
      <c r="H92" s="47"/>
      <c r="I92" s="47" t="s">
        <v>298</v>
      </c>
      <c r="J92" s="45" t="str">
        <f>VLOOKUP(Table13232[[#This Row],[Track]],$C$836:$E$882,2,FALSE)</f>
        <v>Qld</v>
      </c>
      <c r="K92" s="49">
        <v>100</v>
      </c>
      <c r="L92" s="45" t="str">
        <f>IF(Table13232[[#This Row],[Fin]]&lt;&gt;"1st","",Table13232[[#This Row],[Div]]*Table13232[[#This Row],[Lev Bet]])</f>
        <v/>
      </c>
      <c r="M92" s="45">
        <f>IF(Table13232[[#This Row],[Lev Ret]]="",Table13232[[#This Row],[Lev Bet]]*-1,L92-K92)</f>
        <v>-100</v>
      </c>
      <c r="N92" s="135">
        <v>100</v>
      </c>
      <c r="O92" s="135" t="str">
        <f>IF(Table13232[[#This Row],[Fin]]&lt;&gt;"1st","",Table13232[[#This Row],[Div]]*Table13232[[#This Row],[Nat and Combo Bet]])</f>
        <v/>
      </c>
      <c r="P92" s="135">
        <f>IF(Table13232[[#This Row],[Lev Ret]]="",Table13232[[#This Row],[Nat and Combo Bet]]*-1,O92-N92)</f>
        <v>-100</v>
      </c>
      <c r="Q92" s="50">
        <f t="shared" si="3"/>
        <v>1</v>
      </c>
      <c r="R92" s="50">
        <f>IF(AND(Q91=2,Q92=1),"",IF(Q92=2,(N92+N93)/2,IF(Table13232[[#This Row],[Dual Listing]]=1,Table13232[[#This Row],[Nat and Combo Bet]],11)))</f>
        <v>100</v>
      </c>
      <c r="S92" s="50" t="str">
        <f t="shared" si="4"/>
        <v/>
      </c>
      <c r="T92" s="50">
        <f t="shared" si="5"/>
        <v>-100</v>
      </c>
      <c r="U92" s="50" t="str">
        <f>IF(Table13232[[#This Row],[Date]]&lt;$U$4,"","Live")</f>
        <v/>
      </c>
      <c r="V92" s="45" t="str">
        <f>TEXT(Table13232[[#This Row],[Date]],"DDD")</f>
        <v>Sat</v>
      </c>
      <c r="W92" s="45" t="str">
        <f>PROPER(TRIM(Table13232[[#This Row],[Horse]]))</f>
        <v>Whisky Dream</v>
      </c>
    </row>
    <row r="93" spans="1:23" x14ac:dyDescent="0.25">
      <c r="A93" s="43">
        <v>45696</v>
      </c>
      <c r="B93" s="44">
        <v>0.78472222222222221</v>
      </c>
      <c r="C93" s="44" t="s">
        <v>9</v>
      </c>
      <c r="D93" s="45">
        <v>10</v>
      </c>
      <c r="E93" s="45">
        <v>3</v>
      </c>
      <c r="F93" s="46" t="s">
        <v>489</v>
      </c>
      <c r="G93" s="46" t="s">
        <v>22</v>
      </c>
      <c r="H93" s="47"/>
      <c r="I93" s="47" t="s">
        <v>298</v>
      </c>
      <c r="J93" s="45" t="str">
        <f>VLOOKUP(Table13232[[#This Row],[Track]],$C$836:$E$882,2,FALSE)</f>
        <v>Qld</v>
      </c>
      <c r="K93" s="49">
        <v>100</v>
      </c>
      <c r="L93" s="45" t="str">
        <f>IF(Table13232[[#This Row],[Fin]]&lt;&gt;"1st","",Table13232[[#This Row],[Div]]*Table13232[[#This Row],[Lev Bet]])</f>
        <v/>
      </c>
      <c r="M93" s="45">
        <f>IF(Table13232[[#This Row],[Lev Ret]]="",Table13232[[#This Row],[Lev Bet]]*-1,L93-K93)</f>
        <v>-100</v>
      </c>
      <c r="N93" s="135">
        <v>100</v>
      </c>
      <c r="O93" s="135" t="str">
        <f>IF(Table13232[[#This Row],[Fin]]&lt;&gt;"1st","",Table13232[[#This Row],[Div]]*Table13232[[#This Row],[Nat and Combo Bet]])</f>
        <v/>
      </c>
      <c r="P93" s="135">
        <f>IF(Table13232[[#This Row],[Lev Ret]]="",Table13232[[#This Row],[Nat and Combo Bet]]*-1,O93-N93)</f>
        <v>-100</v>
      </c>
      <c r="Q93" s="50">
        <f t="shared" si="3"/>
        <v>1</v>
      </c>
      <c r="R93" s="50">
        <f>IF(AND(Q92=2,Q93=1),"",IF(Q93=2,(N93+N94)/2,IF(Table13232[[#This Row],[Dual Listing]]=1,Table13232[[#This Row],[Nat and Combo Bet]],11)))</f>
        <v>100</v>
      </c>
      <c r="S93" s="50" t="str">
        <f t="shared" si="4"/>
        <v/>
      </c>
      <c r="T93" s="50">
        <f t="shared" si="5"/>
        <v>-100</v>
      </c>
      <c r="U93" s="50" t="str">
        <f>IF(Table13232[[#This Row],[Date]]&lt;$U$4,"","Live")</f>
        <v/>
      </c>
      <c r="V93" s="45" t="str">
        <f>TEXT(Table13232[[#This Row],[Date]],"DDD")</f>
        <v>Sat</v>
      </c>
      <c r="W93" s="45" t="str">
        <f>PROPER(TRIM(Table13232[[#This Row],[Horse]]))</f>
        <v>Lost In Transit</v>
      </c>
    </row>
    <row r="94" spans="1:23" x14ac:dyDescent="0.25">
      <c r="A94" s="43">
        <v>45703</v>
      </c>
      <c r="B94" s="44">
        <v>0.55555555555555558</v>
      </c>
      <c r="C94" s="44" t="s">
        <v>10</v>
      </c>
      <c r="D94" s="45">
        <v>3</v>
      </c>
      <c r="E94" s="45">
        <v>3</v>
      </c>
      <c r="F94" s="46" t="s">
        <v>378</v>
      </c>
      <c r="G94" s="46"/>
      <c r="H94" s="47"/>
      <c r="I94" s="52" t="s">
        <v>297</v>
      </c>
      <c r="J94" s="45" t="str">
        <f>VLOOKUP(Table13232[[#This Row],[Track]],$C$836:$E$882,2,FALSE)</f>
        <v>Vic</v>
      </c>
      <c r="K94" s="49">
        <v>100</v>
      </c>
      <c r="L94" s="45" t="str">
        <f>IF(Table13232[[#This Row],[Fin]]&lt;&gt;"1st","",Table13232[[#This Row],[Div]]*Table13232[[#This Row],[Lev Bet]])</f>
        <v/>
      </c>
      <c r="M94" s="45">
        <f>IF(Table13232[[#This Row],[Lev Ret]]="",Table13232[[#This Row],[Lev Bet]]*-1,L94-K94)</f>
        <v>-100</v>
      </c>
      <c r="N94" s="135">
        <v>150</v>
      </c>
      <c r="O94" s="135" t="str">
        <f>IF(Table13232[[#This Row],[Fin]]&lt;&gt;"1st","",Table13232[[#This Row],[Div]]*Table13232[[#This Row],[Nat and Combo Bet]])</f>
        <v/>
      </c>
      <c r="P94" s="135">
        <f>IF(Table13232[[#This Row],[Lev Ret]]="",Table13232[[#This Row],[Nat and Combo Bet]]*-1,O94-N94)</f>
        <v>-150</v>
      </c>
      <c r="Q94" s="50">
        <f t="shared" si="3"/>
        <v>1</v>
      </c>
      <c r="R94" s="50">
        <f>IF(AND(Q93=2,Q94=1),"",IF(Q94=2,(N94+N95)/2,IF(Table13232[[#This Row],[Dual Listing]]=1,Table13232[[#This Row],[Nat and Combo Bet]],11)))</f>
        <v>150</v>
      </c>
      <c r="S94" s="50" t="str">
        <f t="shared" si="4"/>
        <v/>
      </c>
      <c r="T94" s="50">
        <f t="shared" si="5"/>
        <v>-150</v>
      </c>
      <c r="U94" s="50" t="str">
        <f>IF(Table13232[[#This Row],[Date]]&lt;$U$4,"","Live")</f>
        <v/>
      </c>
      <c r="V94" s="45" t="str">
        <f>TEXT(Table13232[[#This Row],[Date]],"DDD")</f>
        <v>Sat</v>
      </c>
      <c r="W94" s="45" t="str">
        <f>PROPER(TRIM(Table13232[[#This Row],[Horse]]))</f>
        <v>Fancify</v>
      </c>
    </row>
    <row r="95" spans="1:23" x14ac:dyDescent="0.25">
      <c r="A95" s="43">
        <v>45703</v>
      </c>
      <c r="B95" s="44">
        <v>0.57986111111111116</v>
      </c>
      <c r="C95" s="44" t="s">
        <v>10</v>
      </c>
      <c r="D95" s="45">
        <v>4</v>
      </c>
      <c r="E95" s="45">
        <v>2</v>
      </c>
      <c r="F95" s="46" t="s">
        <v>114</v>
      </c>
      <c r="G95" s="46" t="s">
        <v>21</v>
      </c>
      <c r="H95" s="47">
        <v>6</v>
      </c>
      <c r="I95" s="47" t="s">
        <v>298</v>
      </c>
      <c r="J95" s="45" t="str">
        <f>VLOOKUP(Table13232[[#This Row],[Track]],$C$836:$E$882,2,FALSE)</f>
        <v>Vic</v>
      </c>
      <c r="K95" s="49">
        <v>100</v>
      </c>
      <c r="L95" s="45">
        <f>IF(Table13232[[#This Row],[Fin]]&lt;&gt;"1st","",Table13232[[#This Row],[Div]]*Table13232[[#This Row],[Lev Bet]])</f>
        <v>600</v>
      </c>
      <c r="M95" s="45">
        <f>IF(Table13232[[#This Row],[Lev Ret]]="",Table13232[[#This Row],[Lev Bet]]*-1,L95-K95)</f>
        <v>500</v>
      </c>
      <c r="N95" s="135">
        <v>100</v>
      </c>
      <c r="O95" s="135">
        <f>IF(Table13232[[#This Row],[Fin]]&lt;&gt;"1st","",Table13232[[#This Row],[Div]]*Table13232[[#This Row],[Nat and Combo Bet]])</f>
        <v>600</v>
      </c>
      <c r="P95" s="135">
        <f>IF(Table13232[[#This Row],[Lev Ret]]="",Table13232[[#This Row],[Nat and Combo Bet]]*-1,O95-N95)</f>
        <v>500</v>
      </c>
      <c r="Q95" s="50">
        <f t="shared" si="3"/>
        <v>1</v>
      </c>
      <c r="R95" s="50">
        <f>IF(AND(Q94=2,Q95=1),"",IF(Q95=2,(N95+N96)/2,IF(Table13232[[#This Row],[Dual Listing]]=1,Table13232[[#This Row],[Nat and Combo Bet]],11)))</f>
        <v>100</v>
      </c>
      <c r="S95" s="50">
        <f t="shared" si="4"/>
        <v>600</v>
      </c>
      <c r="T95" s="50">
        <f t="shared" si="5"/>
        <v>500</v>
      </c>
      <c r="U95" s="50" t="str">
        <f>IF(Table13232[[#This Row],[Date]]&lt;$U$4,"","Live")</f>
        <v/>
      </c>
      <c r="V95" s="45" t="str">
        <f>TEXT(Table13232[[#This Row],[Date]],"DDD")</f>
        <v>Sat</v>
      </c>
      <c r="W95" s="45" t="str">
        <f>PROPER(TRIM(Table13232[[#This Row],[Horse]]))</f>
        <v>Smokin Princess</v>
      </c>
    </row>
    <row r="96" spans="1:23" x14ac:dyDescent="0.25">
      <c r="A96" s="43">
        <v>45703</v>
      </c>
      <c r="B96" s="44">
        <v>0.57986111111111116</v>
      </c>
      <c r="C96" s="44" t="s">
        <v>10</v>
      </c>
      <c r="D96" s="45">
        <v>4</v>
      </c>
      <c r="E96" s="45">
        <v>5</v>
      </c>
      <c r="F96" s="46" t="s">
        <v>379</v>
      </c>
      <c r="G96" s="46"/>
      <c r="H96" s="47"/>
      <c r="I96" s="52" t="s">
        <v>297</v>
      </c>
      <c r="J96" s="45" t="str">
        <f>VLOOKUP(Table13232[[#This Row],[Track]],$C$836:$E$882,2,FALSE)</f>
        <v>Vic</v>
      </c>
      <c r="K96" s="49">
        <v>100</v>
      </c>
      <c r="L96" s="45" t="str">
        <f>IF(Table13232[[#This Row],[Fin]]&lt;&gt;"1st","",Table13232[[#This Row],[Div]]*Table13232[[#This Row],[Lev Bet]])</f>
        <v/>
      </c>
      <c r="M96" s="45">
        <f>IF(Table13232[[#This Row],[Lev Ret]]="",Table13232[[#This Row],[Lev Bet]]*-1,L96-K96)</f>
        <v>-100</v>
      </c>
      <c r="N96" s="135">
        <v>50</v>
      </c>
      <c r="O96" s="135" t="str">
        <f>IF(Table13232[[#This Row],[Fin]]&lt;&gt;"1st","",Table13232[[#This Row],[Div]]*Table13232[[#This Row],[Nat and Combo Bet]])</f>
        <v/>
      </c>
      <c r="P96" s="135">
        <f>IF(Table13232[[#This Row],[Lev Ret]]="",Table13232[[#This Row],[Nat and Combo Bet]]*-1,O96-N96)</f>
        <v>-50</v>
      </c>
      <c r="Q96" s="50">
        <f t="shared" si="3"/>
        <v>1</v>
      </c>
      <c r="R96" s="50">
        <f>IF(AND(Q95=2,Q96=1),"",IF(Q96=2,(N96+N97)/2,IF(Table13232[[#This Row],[Dual Listing]]=1,Table13232[[#This Row],[Nat and Combo Bet]],11)))</f>
        <v>50</v>
      </c>
      <c r="S96" s="50" t="str">
        <f t="shared" si="4"/>
        <v/>
      </c>
      <c r="T96" s="50">
        <f t="shared" si="5"/>
        <v>-50</v>
      </c>
      <c r="U96" s="50" t="str">
        <f>IF(Table13232[[#This Row],[Date]]&lt;$U$4,"","Live")</f>
        <v/>
      </c>
      <c r="V96" s="45" t="str">
        <f>TEXT(Table13232[[#This Row],[Date]],"DDD")</f>
        <v>Sat</v>
      </c>
      <c r="W96" s="45" t="str">
        <f>PROPER(TRIM(Table13232[[#This Row],[Horse]]))</f>
        <v>Umgawa</v>
      </c>
    </row>
    <row r="97" spans="1:23" x14ac:dyDescent="0.25">
      <c r="A97" s="43">
        <v>45703</v>
      </c>
      <c r="B97" s="44">
        <v>0.60416666666666663</v>
      </c>
      <c r="C97" s="44" t="s">
        <v>10</v>
      </c>
      <c r="D97" s="45">
        <v>5</v>
      </c>
      <c r="E97" s="45">
        <v>7</v>
      </c>
      <c r="F97" s="46" t="s">
        <v>137</v>
      </c>
      <c r="G97" s="46" t="s">
        <v>22</v>
      </c>
      <c r="H97" s="47"/>
      <c r="I97" s="47" t="s">
        <v>298</v>
      </c>
      <c r="J97" s="45" t="str">
        <f>VLOOKUP(Table13232[[#This Row],[Track]],$C$836:$E$882,2,FALSE)</f>
        <v>Vic</v>
      </c>
      <c r="K97" s="49">
        <v>100</v>
      </c>
      <c r="L97" s="45" t="str">
        <f>IF(Table13232[[#This Row],[Fin]]&lt;&gt;"1st","",Table13232[[#This Row],[Div]]*Table13232[[#This Row],[Lev Bet]])</f>
        <v/>
      </c>
      <c r="M97" s="45">
        <f>IF(Table13232[[#This Row],[Lev Ret]]="",Table13232[[#This Row],[Lev Bet]]*-1,L97-K97)</f>
        <v>-100</v>
      </c>
      <c r="N97" s="135">
        <v>100</v>
      </c>
      <c r="O97" s="135" t="str">
        <f>IF(Table13232[[#This Row],[Fin]]&lt;&gt;"1st","",Table13232[[#This Row],[Div]]*Table13232[[#This Row],[Nat and Combo Bet]])</f>
        <v/>
      </c>
      <c r="P97" s="135">
        <f>IF(Table13232[[#This Row],[Lev Ret]]="",Table13232[[#This Row],[Nat and Combo Bet]]*-1,O97-N97)</f>
        <v>-100</v>
      </c>
      <c r="Q97" s="50">
        <f t="shared" si="3"/>
        <v>1</v>
      </c>
      <c r="R97" s="50">
        <f>IF(AND(Q96=2,Q97=1),"",IF(Q97=2,(N97+N98)/2,IF(Table13232[[#This Row],[Dual Listing]]=1,Table13232[[#This Row],[Nat and Combo Bet]],11)))</f>
        <v>100</v>
      </c>
      <c r="S97" s="50" t="str">
        <f t="shared" si="4"/>
        <v/>
      </c>
      <c r="T97" s="50">
        <f t="shared" si="5"/>
        <v>-100</v>
      </c>
      <c r="U97" s="50" t="str">
        <f>IF(Table13232[[#This Row],[Date]]&lt;$U$4,"","Live")</f>
        <v/>
      </c>
      <c r="V97" s="45" t="str">
        <f>TEXT(Table13232[[#This Row],[Date]],"DDD")</f>
        <v>Sat</v>
      </c>
      <c r="W97" s="45" t="str">
        <f>PROPER(TRIM(Table13232[[#This Row],[Horse]]))</f>
        <v>Material Dreams</v>
      </c>
    </row>
    <row r="98" spans="1:23" x14ac:dyDescent="0.25">
      <c r="A98" s="43">
        <v>45703</v>
      </c>
      <c r="B98" s="44">
        <v>0.61805555555555558</v>
      </c>
      <c r="C98" s="44" t="s">
        <v>13</v>
      </c>
      <c r="D98" s="45">
        <v>5</v>
      </c>
      <c r="E98" s="45">
        <v>5</v>
      </c>
      <c r="F98" s="46" t="s">
        <v>143</v>
      </c>
      <c r="G98" s="46" t="s">
        <v>476</v>
      </c>
      <c r="H98" s="47"/>
      <c r="I98" s="52" t="s">
        <v>297</v>
      </c>
      <c r="J98" s="45" t="str">
        <f>VLOOKUP(Table13232[[#This Row],[Track]],$C$836:$E$882,2,FALSE)</f>
        <v>NSW</v>
      </c>
      <c r="K98" s="49">
        <v>100</v>
      </c>
      <c r="L98" s="45" t="str">
        <f>IF(Table13232[[#This Row],[Fin]]&lt;&gt;"1st","",Table13232[[#This Row],[Div]]*Table13232[[#This Row],[Lev Bet]])</f>
        <v/>
      </c>
      <c r="M98" s="45">
        <f>IF(Table13232[[#This Row],[Lev Ret]]="",Table13232[[#This Row],[Lev Bet]]*-1,L98-K98)</f>
        <v>-100</v>
      </c>
      <c r="N98" s="135">
        <v>150</v>
      </c>
      <c r="O98" s="135" t="str">
        <f>IF(Table13232[[#This Row],[Fin]]&lt;&gt;"1st","",Table13232[[#This Row],[Div]]*Table13232[[#This Row],[Nat and Combo Bet]])</f>
        <v/>
      </c>
      <c r="P98" s="135">
        <f>IF(Table13232[[#This Row],[Lev Ret]]="",Table13232[[#This Row],[Nat and Combo Bet]]*-1,O98-N98)</f>
        <v>-150</v>
      </c>
      <c r="Q98" s="50">
        <f t="shared" si="3"/>
        <v>1</v>
      </c>
      <c r="R98" s="50">
        <f>IF(AND(Q97=2,Q98=1),"",IF(Q98=2,(N98+N99)/2,IF(Table13232[[#This Row],[Dual Listing]]=1,Table13232[[#This Row],[Nat and Combo Bet]],11)))</f>
        <v>150</v>
      </c>
      <c r="S98" s="50" t="str">
        <f t="shared" si="4"/>
        <v/>
      </c>
      <c r="T98" s="50">
        <f t="shared" si="5"/>
        <v>-150</v>
      </c>
      <c r="U98" s="50" t="str">
        <f>IF(Table13232[[#This Row],[Date]]&lt;$U$4,"","Live")</f>
        <v/>
      </c>
      <c r="V98" s="45" t="str">
        <f>TEXT(Table13232[[#This Row],[Date]],"DDD")</f>
        <v>Sat</v>
      </c>
      <c r="W98" s="45" t="str">
        <f>PROPER(TRIM(Table13232[[#This Row],[Horse]]))</f>
        <v>Joliestar</v>
      </c>
    </row>
    <row r="99" spans="1:23" x14ac:dyDescent="0.25">
      <c r="A99" s="43">
        <v>45703</v>
      </c>
      <c r="B99" s="44">
        <v>0.62847222222222221</v>
      </c>
      <c r="C99" s="44" t="s">
        <v>10</v>
      </c>
      <c r="D99" s="45">
        <v>6</v>
      </c>
      <c r="E99" s="45">
        <v>4</v>
      </c>
      <c r="F99" s="46" t="s">
        <v>380</v>
      </c>
      <c r="G99" s="46"/>
      <c r="H99" s="47"/>
      <c r="I99" s="52" t="s">
        <v>297</v>
      </c>
      <c r="J99" s="45" t="str">
        <f>VLOOKUP(Table13232[[#This Row],[Track]],$C$836:$E$882,2,FALSE)</f>
        <v>Vic</v>
      </c>
      <c r="K99" s="49">
        <v>100</v>
      </c>
      <c r="L99" s="45" t="str">
        <f>IF(Table13232[[#This Row],[Fin]]&lt;&gt;"1st","",Table13232[[#This Row],[Div]]*Table13232[[#This Row],[Lev Bet]])</f>
        <v/>
      </c>
      <c r="M99" s="45">
        <f>IF(Table13232[[#This Row],[Lev Ret]]="",Table13232[[#This Row],[Lev Bet]]*-1,L99-K99)</f>
        <v>-100</v>
      </c>
      <c r="N99" s="135">
        <v>120</v>
      </c>
      <c r="O99" s="135" t="str">
        <f>IF(Table13232[[#This Row],[Fin]]&lt;&gt;"1st","",Table13232[[#This Row],[Div]]*Table13232[[#This Row],[Nat and Combo Bet]])</f>
        <v/>
      </c>
      <c r="P99" s="135">
        <f>IF(Table13232[[#This Row],[Lev Ret]]="",Table13232[[#This Row],[Nat and Combo Bet]]*-1,O99-N99)</f>
        <v>-120</v>
      </c>
      <c r="Q99" s="50">
        <f t="shared" si="3"/>
        <v>1</v>
      </c>
      <c r="R99" s="50">
        <f>IF(AND(Q98=2,Q99=1),"",IF(Q99=2,(N99+N100)/2,IF(Table13232[[#This Row],[Dual Listing]]=1,Table13232[[#This Row],[Nat and Combo Bet]],11)))</f>
        <v>120</v>
      </c>
      <c r="S99" s="50" t="str">
        <f t="shared" si="4"/>
        <v/>
      </c>
      <c r="T99" s="50">
        <f t="shared" si="5"/>
        <v>-120</v>
      </c>
      <c r="U99" s="50" t="str">
        <f>IF(Table13232[[#This Row],[Date]]&lt;$U$4,"","Live")</f>
        <v/>
      </c>
      <c r="V99" s="45" t="str">
        <f>TEXT(Table13232[[#This Row],[Date]],"DDD")</f>
        <v>Sat</v>
      </c>
      <c r="W99" s="45" t="str">
        <f>PROPER(TRIM(Table13232[[#This Row],[Horse]]))</f>
        <v>Chorlton Lane</v>
      </c>
    </row>
    <row r="100" spans="1:23" x14ac:dyDescent="0.25">
      <c r="A100" s="43">
        <v>45703</v>
      </c>
      <c r="B100" s="44">
        <v>0.62847222222222221</v>
      </c>
      <c r="C100" s="44" t="s">
        <v>10</v>
      </c>
      <c r="D100" s="45">
        <v>6</v>
      </c>
      <c r="E100" s="45">
        <v>9</v>
      </c>
      <c r="F100" s="46" t="s">
        <v>144</v>
      </c>
      <c r="G100" s="46"/>
      <c r="H100" s="47"/>
      <c r="I100" s="47" t="s">
        <v>298</v>
      </c>
      <c r="J100" s="45" t="str">
        <f>VLOOKUP(Table13232[[#This Row],[Track]],$C$836:$E$882,2,FALSE)</f>
        <v>Vic</v>
      </c>
      <c r="K100" s="49">
        <v>100</v>
      </c>
      <c r="L100" s="45" t="str">
        <f>IF(Table13232[[#This Row],[Fin]]&lt;&gt;"1st","",Table13232[[#This Row],[Div]]*Table13232[[#This Row],[Lev Bet]])</f>
        <v/>
      </c>
      <c r="M100" s="45">
        <f>IF(Table13232[[#This Row],[Lev Ret]]="",Table13232[[#This Row],[Lev Bet]]*-1,L100-K100)</f>
        <v>-100</v>
      </c>
      <c r="N100" s="135">
        <v>100</v>
      </c>
      <c r="O100" s="135" t="str">
        <f>IF(Table13232[[#This Row],[Fin]]&lt;&gt;"1st","",Table13232[[#This Row],[Div]]*Table13232[[#This Row],[Nat and Combo Bet]])</f>
        <v/>
      </c>
      <c r="P100" s="135">
        <f>IF(Table13232[[#This Row],[Lev Ret]]="",Table13232[[#This Row],[Nat and Combo Bet]]*-1,O100-N100)</f>
        <v>-100</v>
      </c>
      <c r="Q100" s="50">
        <f t="shared" si="3"/>
        <v>1</v>
      </c>
      <c r="R100" s="50">
        <f>IF(AND(Q99=2,Q100=1),"",IF(Q100=2,(N100+N101)/2,IF(Table13232[[#This Row],[Dual Listing]]=1,Table13232[[#This Row],[Nat and Combo Bet]],11)))</f>
        <v>100</v>
      </c>
      <c r="S100" s="50" t="str">
        <f t="shared" si="4"/>
        <v/>
      </c>
      <c r="T100" s="50">
        <f t="shared" si="5"/>
        <v>-100</v>
      </c>
      <c r="U100" s="50" t="str">
        <f>IF(Table13232[[#This Row],[Date]]&lt;$U$4,"","Live")</f>
        <v/>
      </c>
      <c r="V100" s="45" t="str">
        <f>TEXT(Table13232[[#This Row],[Date]],"DDD")</f>
        <v>Sat</v>
      </c>
      <c r="W100" s="45" t="str">
        <f>PROPER(TRIM(Table13232[[#This Row],[Horse]]))</f>
        <v>Poison Chalice</v>
      </c>
    </row>
    <row r="101" spans="1:23" x14ac:dyDescent="0.25">
      <c r="A101" s="43">
        <v>45703</v>
      </c>
      <c r="B101" s="44">
        <v>0.62847222222222221</v>
      </c>
      <c r="C101" s="44" t="s">
        <v>10</v>
      </c>
      <c r="D101" s="45">
        <v>6</v>
      </c>
      <c r="E101" s="45">
        <v>6</v>
      </c>
      <c r="F101" s="46" t="s">
        <v>64</v>
      </c>
      <c r="G101" s="46" t="s">
        <v>21</v>
      </c>
      <c r="H101" s="47">
        <v>4.7</v>
      </c>
      <c r="I101" s="52" t="s">
        <v>297</v>
      </c>
      <c r="J101" s="45" t="str">
        <f>VLOOKUP(Table13232[[#This Row],[Track]],$C$836:$E$882,2,FALSE)</f>
        <v>Vic</v>
      </c>
      <c r="K101" s="49">
        <v>100</v>
      </c>
      <c r="L101" s="45">
        <f>IF(Table13232[[#This Row],[Fin]]&lt;&gt;"1st","",Table13232[[#This Row],[Div]]*Table13232[[#This Row],[Lev Bet]])</f>
        <v>470</v>
      </c>
      <c r="M101" s="45">
        <f>IF(Table13232[[#This Row],[Lev Ret]]="",Table13232[[#This Row],[Lev Bet]]*-1,L101-K101)</f>
        <v>370</v>
      </c>
      <c r="N101" s="135">
        <v>150</v>
      </c>
      <c r="O101" s="135">
        <f>IF(Table13232[[#This Row],[Fin]]&lt;&gt;"1st","",Table13232[[#This Row],[Div]]*Table13232[[#This Row],[Nat and Combo Bet]])</f>
        <v>705</v>
      </c>
      <c r="P101" s="135">
        <f>IF(Table13232[[#This Row],[Lev Ret]]="",Table13232[[#This Row],[Nat and Combo Bet]]*-1,O101-N101)</f>
        <v>555</v>
      </c>
      <c r="Q101" s="50">
        <f t="shared" si="3"/>
        <v>1</v>
      </c>
      <c r="R101" s="50">
        <f>IF(AND(Q100=2,Q101=1),"",IF(Q101=2,(N101+N102)/2,IF(Table13232[[#This Row],[Dual Listing]]=1,Table13232[[#This Row],[Nat and Combo Bet]],11)))</f>
        <v>150</v>
      </c>
      <c r="S101" s="50">
        <f t="shared" si="4"/>
        <v>705</v>
      </c>
      <c r="T101" s="50">
        <f t="shared" si="5"/>
        <v>555</v>
      </c>
      <c r="U101" s="50" t="str">
        <f>IF(Table13232[[#This Row],[Date]]&lt;$U$4,"","Live")</f>
        <v/>
      </c>
      <c r="V101" s="45" t="str">
        <f>TEXT(Table13232[[#This Row],[Date]],"DDD")</f>
        <v>Sat</v>
      </c>
      <c r="W101" s="45" t="str">
        <f>PROPER(TRIM(Table13232[[#This Row],[Horse]]))</f>
        <v>Rise At Dawn</v>
      </c>
    </row>
    <row r="102" spans="1:23" x14ac:dyDescent="0.25">
      <c r="A102" s="43">
        <v>45703</v>
      </c>
      <c r="B102" s="44">
        <v>0.64236111111111116</v>
      </c>
      <c r="C102" s="44" t="s">
        <v>13</v>
      </c>
      <c r="D102" s="45">
        <v>6</v>
      </c>
      <c r="E102" s="45">
        <v>10</v>
      </c>
      <c r="F102" s="46" t="s">
        <v>115</v>
      </c>
      <c r="G102" s="46" t="s">
        <v>23</v>
      </c>
      <c r="H102" s="47"/>
      <c r="I102" s="52" t="s">
        <v>297</v>
      </c>
      <c r="J102" s="45" t="str">
        <f>VLOOKUP(Table13232[[#This Row],[Track]],$C$836:$E$882,2,FALSE)</f>
        <v>NSW</v>
      </c>
      <c r="K102" s="49">
        <v>100</v>
      </c>
      <c r="L102" s="45" t="str">
        <f>IF(Table13232[[#This Row],[Fin]]&lt;&gt;"1st","",Table13232[[#This Row],[Div]]*Table13232[[#This Row],[Lev Bet]])</f>
        <v/>
      </c>
      <c r="M102" s="45">
        <f>IF(Table13232[[#This Row],[Lev Ret]]="",Table13232[[#This Row],[Lev Bet]]*-1,L102-K102)</f>
        <v>-100</v>
      </c>
      <c r="N102" s="135">
        <v>150</v>
      </c>
      <c r="O102" s="135" t="str">
        <f>IF(Table13232[[#This Row],[Fin]]&lt;&gt;"1st","",Table13232[[#This Row],[Div]]*Table13232[[#This Row],[Nat and Combo Bet]])</f>
        <v/>
      </c>
      <c r="P102" s="135">
        <f>IF(Table13232[[#This Row],[Lev Ret]]="",Table13232[[#This Row],[Nat and Combo Bet]]*-1,O102-N102)</f>
        <v>-150</v>
      </c>
      <c r="Q102" s="50">
        <f t="shared" si="3"/>
        <v>1</v>
      </c>
      <c r="R102" s="50">
        <f>IF(AND(Q101=2,Q102=1),"",IF(Q102=2,(N102+N103)/2,IF(Table13232[[#This Row],[Dual Listing]]=1,Table13232[[#This Row],[Nat and Combo Bet]],11)))</f>
        <v>150</v>
      </c>
      <c r="S102" s="50" t="str">
        <f t="shared" si="4"/>
        <v/>
      </c>
      <c r="T102" s="50">
        <f t="shared" si="5"/>
        <v>-150</v>
      </c>
      <c r="U102" s="50" t="str">
        <f>IF(Table13232[[#This Row],[Date]]&lt;$U$4,"","Live")</f>
        <v/>
      </c>
      <c r="V102" s="45" t="str">
        <f>TEXT(Table13232[[#This Row],[Date]],"DDD")</f>
        <v>Sat</v>
      </c>
      <c r="W102" s="45" t="str">
        <f>PROPER(TRIM(Table13232[[#This Row],[Horse]]))</f>
        <v>Clear Thinking</v>
      </c>
    </row>
    <row r="103" spans="1:23" x14ac:dyDescent="0.25">
      <c r="A103" s="43">
        <v>45703</v>
      </c>
      <c r="B103" s="44">
        <v>0.67708333333333337</v>
      </c>
      <c r="C103" s="44" t="s">
        <v>10</v>
      </c>
      <c r="D103" s="45">
        <v>8</v>
      </c>
      <c r="E103" s="45">
        <v>10</v>
      </c>
      <c r="F103" s="46" t="s">
        <v>381</v>
      </c>
      <c r="G103" s="46"/>
      <c r="H103" s="47"/>
      <c r="I103" s="52" t="s">
        <v>297</v>
      </c>
      <c r="J103" s="45" t="str">
        <f>VLOOKUP(Table13232[[#This Row],[Track]],$C$836:$E$882,2,FALSE)</f>
        <v>Vic</v>
      </c>
      <c r="K103" s="49">
        <v>100</v>
      </c>
      <c r="L103" s="45" t="str">
        <f>IF(Table13232[[#This Row],[Fin]]&lt;&gt;"1st","",Table13232[[#This Row],[Div]]*Table13232[[#This Row],[Lev Bet]])</f>
        <v/>
      </c>
      <c r="M103" s="45">
        <f>IF(Table13232[[#This Row],[Lev Ret]]="",Table13232[[#This Row],[Lev Bet]]*-1,L103-K103)</f>
        <v>-100</v>
      </c>
      <c r="N103" s="135">
        <v>150</v>
      </c>
      <c r="O103" s="135" t="str">
        <f>IF(Table13232[[#This Row],[Fin]]&lt;&gt;"1st","",Table13232[[#This Row],[Div]]*Table13232[[#This Row],[Nat and Combo Bet]])</f>
        <v/>
      </c>
      <c r="P103" s="135">
        <f>IF(Table13232[[#This Row],[Lev Ret]]="",Table13232[[#This Row],[Nat and Combo Bet]]*-1,O103-N103)</f>
        <v>-150</v>
      </c>
      <c r="Q103" s="50">
        <f t="shared" si="3"/>
        <v>1</v>
      </c>
      <c r="R103" s="50">
        <f>IF(AND(Q102=2,Q103=1),"",IF(Q103=2,(N103+N104)/2,IF(Table13232[[#This Row],[Dual Listing]]=1,Table13232[[#This Row],[Nat and Combo Bet]],11)))</f>
        <v>150</v>
      </c>
      <c r="S103" s="50" t="str">
        <f t="shared" si="4"/>
        <v/>
      </c>
      <c r="T103" s="50">
        <f t="shared" si="5"/>
        <v>-150</v>
      </c>
      <c r="U103" s="50" t="str">
        <f>IF(Table13232[[#This Row],[Date]]&lt;$U$4,"","Live")</f>
        <v/>
      </c>
      <c r="V103" s="45" t="str">
        <f>TEXT(Table13232[[#This Row],[Date]],"DDD")</f>
        <v>Sat</v>
      </c>
      <c r="W103" s="45" t="str">
        <f>PROPER(TRIM(Table13232[[#This Row],[Horse]]))</f>
        <v>Growing Empire</v>
      </c>
    </row>
    <row r="104" spans="1:23" x14ac:dyDescent="0.25">
      <c r="A104" s="43">
        <v>45703</v>
      </c>
      <c r="B104" s="44">
        <v>0.71875</v>
      </c>
      <c r="C104" s="44" t="s">
        <v>13</v>
      </c>
      <c r="D104" s="45">
        <v>9</v>
      </c>
      <c r="E104" s="45">
        <v>9</v>
      </c>
      <c r="F104" s="46" t="s">
        <v>382</v>
      </c>
      <c r="G104" s="46" t="s">
        <v>22</v>
      </c>
      <c r="H104" s="47"/>
      <c r="I104" s="52" t="s">
        <v>297</v>
      </c>
      <c r="J104" s="45" t="str">
        <f>VLOOKUP(Table13232[[#This Row],[Track]],$C$836:$E$882,2,FALSE)</f>
        <v>NSW</v>
      </c>
      <c r="K104" s="49">
        <v>100</v>
      </c>
      <c r="L104" s="45" t="str">
        <f>IF(Table13232[[#This Row],[Fin]]&lt;&gt;"1st","",Table13232[[#This Row],[Div]]*Table13232[[#This Row],[Lev Bet]])</f>
        <v/>
      </c>
      <c r="M104" s="45">
        <f>IF(Table13232[[#This Row],[Lev Ret]]="",Table13232[[#This Row],[Lev Bet]]*-1,L104-K104)</f>
        <v>-100</v>
      </c>
      <c r="N104" s="135">
        <v>100</v>
      </c>
      <c r="O104" s="135" t="str">
        <f>IF(Table13232[[#This Row],[Fin]]&lt;&gt;"1st","",Table13232[[#This Row],[Div]]*Table13232[[#This Row],[Nat and Combo Bet]])</f>
        <v/>
      </c>
      <c r="P104" s="135">
        <f>IF(Table13232[[#This Row],[Lev Ret]]="",Table13232[[#This Row],[Nat and Combo Bet]]*-1,O104-N104)</f>
        <v>-100</v>
      </c>
      <c r="Q104" s="50">
        <f t="shared" si="3"/>
        <v>1</v>
      </c>
      <c r="R104" s="50">
        <f>IF(AND(Q103=2,Q104=1),"",IF(Q104=2,(N104+N105)/2,IF(Table13232[[#This Row],[Dual Listing]]=1,Table13232[[#This Row],[Nat and Combo Bet]],11)))</f>
        <v>100</v>
      </c>
      <c r="S104" s="50" t="str">
        <f t="shared" si="4"/>
        <v/>
      </c>
      <c r="T104" s="50">
        <f t="shared" si="5"/>
        <v>-100</v>
      </c>
      <c r="U104" s="50" t="str">
        <f>IF(Table13232[[#This Row],[Date]]&lt;$U$4,"","Live")</f>
        <v/>
      </c>
      <c r="V104" s="45" t="str">
        <f>TEXT(Table13232[[#This Row],[Date]],"DDD")</f>
        <v>Sat</v>
      </c>
      <c r="W104" s="45" t="str">
        <f>PROPER(TRIM(Table13232[[#This Row],[Horse]]))</f>
        <v>Eye Of The Fire</v>
      </c>
    </row>
    <row r="105" spans="1:23" x14ac:dyDescent="0.25">
      <c r="A105" s="43">
        <v>45703</v>
      </c>
      <c r="B105" s="44">
        <v>0.73263888888888884</v>
      </c>
      <c r="C105" s="44" t="s">
        <v>10</v>
      </c>
      <c r="D105" s="45">
        <v>10</v>
      </c>
      <c r="E105" s="45">
        <v>3</v>
      </c>
      <c r="F105" s="46" t="s">
        <v>383</v>
      </c>
      <c r="G105" s="46" t="s">
        <v>21</v>
      </c>
      <c r="H105" s="47">
        <v>3.8</v>
      </c>
      <c r="I105" s="52" t="s">
        <v>297</v>
      </c>
      <c r="J105" s="45" t="str">
        <f>VLOOKUP(Table13232[[#This Row],[Track]],$C$836:$E$882,2,FALSE)</f>
        <v>Vic</v>
      </c>
      <c r="K105" s="49">
        <v>100</v>
      </c>
      <c r="L105" s="45">
        <f>IF(Table13232[[#This Row],[Fin]]&lt;&gt;"1st","",Table13232[[#This Row],[Div]]*Table13232[[#This Row],[Lev Bet]])</f>
        <v>380</v>
      </c>
      <c r="M105" s="45">
        <f>IF(Table13232[[#This Row],[Lev Ret]]="",Table13232[[#This Row],[Lev Bet]]*-1,L105-K105)</f>
        <v>280</v>
      </c>
      <c r="N105" s="135">
        <v>150</v>
      </c>
      <c r="O105" s="135">
        <f>IF(Table13232[[#This Row],[Fin]]&lt;&gt;"1st","",Table13232[[#This Row],[Div]]*Table13232[[#This Row],[Nat and Combo Bet]])</f>
        <v>570</v>
      </c>
      <c r="P105" s="135">
        <f>IF(Table13232[[#This Row],[Lev Ret]]="",Table13232[[#This Row],[Nat and Combo Bet]]*-1,O105-N105)</f>
        <v>420</v>
      </c>
      <c r="Q105" s="50">
        <f t="shared" si="3"/>
        <v>1</v>
      </c>
      <c r="R105" s="50">
        <f>IF(AND(Q104=2,Q105=1),"",IF(Q105=2,(N105+N106)/2,IF(Table13232[[#This Row],[Dual Listing]]=1,Table13232[[#This Row],[Nat and Combo Bet]],11)))</f>
        <v>150</v>
      </c>
      <c r="S105" s="50">
        <f t="shared" si="4"/>
        <v>570</v>
      </c>
      <c r="T105" s="50">
        <f t="shared" si="5"/>
        <v>420</v>
      </c>
      <c r="U105" s="50" t="str">
        <f>IF(Table13232[[#This Row],[Date]]&lt;$U$4,"","Live")</f>
        <v/>
      </c>
      <c r="V105" s="45" t="str">
        <f>TEXT(Table13232[[#This Row],[Date]],"DDD")</f>
        <v>Sat</v>
      </c>
      <c r="W105" s="45" t="str">
        <f>PROPER(TRIM(Table13232[[#This Row],[Horse]]))</f>
        <v>Is It Me</v>
      </c>
    </row>
    <row r="106" spans="1:23" x14ac:dyDescent="0.25">
      <c r="A106" s="43">
        <v>45703</v>
      </c>
      <c r="B106" s="44">
        <v>0.73263888888888884</v>
      </c>
      <c r="C106" s="44" t="s">
        <v>10</v>
      </c>
      <c r="D106" s="45">
        <v>10</v>
      </c>
      <c r="E106" s="45">
        <v>2</v>
      </c>
      <c r="F106" s="46" t="s">
        <v>384</v>
      </c>
      <c r="G106" s="46"/>
      <c r="H106" s="47"/>
      <c r="I106" s="52" t="s">
        <v>297</v>
      </c>
      <c r="J106" s="45" t="str">
        <f>VLOOKUP(Table13232[[#This Row],[Track]],$C$836:$E$882,2,FALSE)</f>
        <v>Vic</v>
      </c>
      <c r="K106" s="49">
        <v>100</v>
      </c>
      <c r="L106" s="45" t="str">
        <f>IF(Table13232[[#This Row],[Fin]]&lt;&gt;"1st","",Table13232[[#This Row],[Div]]*Table13232[[#This Row],[Lev Bet]])</f>
        <v/>
      </c>
      <c r="M106" s="45">
        <f>IF(Table13232[[#This Row],[Lev Ret]]="",Table13232[[#This Row],[Lev Bet]]*-1,L106-K106)</f>
        <v>-100</v>
      </c>
      <c r="N106" s="135">
        <v>50</v>
      </c>
      <c r="O106" s="135" t="str">
        <f>IF(Table13232[[#This Row],[Fin]]&lt;&gt;"1st","",Table13232[[#This Row],[Div]]*Table13232[[#This Row],[Nat and Combo Bet]])</f>
        <v/>
      </c>
      <c r="P106" s="135">
        <f>IF(Table13232[[#This Row],[Lev Ret]]="",Table13232[[#This Row],[Nat and Combo Bet]]*-1,O106-N106)</f>
        <v>-50</v>
      </c>
      <c r="Q106" s="50">
        <f t="shared" si="3"/>
        <v>1</v>
      </c>
      <c r="R106" s="50">
        <f>IF(AND(Q105=2,Q106=1),"",IF(Q106=2,(N106+N107)/2,IF(Table13232[[#This Row],[Dual Listing]]=1,Table13232[[#This Row],[Nat and Combo Bet]],11)))</f>
        <v>50</v>
      </c>
      <c r="S106" s="50" t="str">
        <f t="shared" si="4"/>
        <v/>
      </c>
      <c r="T106" s="50">
        <f t="shared" si="5"/>
        <v>-50</v>
      </c>
      <c r="U106" s="50" t="str">
        <f>IF(Table13232[[#This Row],[Date]]&lt;$U$4,"","Live")</f>
        <v/>
      </c>
      <c r="V106" s="45" t="str">
        <f>TEXT(Table13232[[#This Row],[Date]],"DDD")</f>
        <v>Sat</v>
      </c>
      <c r="W106" s="45" t="str">
        <f>PROPER(TRIM(Table13232[[#This Row],[Horse]]))</f>
        <v>Le Ferrari</v>
      </c>
    </row>
    <row r="107" spans="1:23" x14ac:dyDescent="0.25">
      <c r="A107" s="43">
        <v>45710</v>
      </c>
      <c r="B107" s="44">
        <v>0.51041666666666663</v>
      </c>
      <c r="C107" s="44" t="s">
        <v>34</v>
      </c>
      <c r="D107" s="45">
        <v>1</v>
      </c>
      <c r="E107" s="45">
        <v>5</v>
      </c>
      <c r="F107" s="46" t="s">
        <v>87</v>
      </c>
      <c r="G107" s="46" t="s">
        <v>21</v>
      </c>
      <c r="H107" s="47">
        <v>3.4</v>
      </c>
      <c r="I107" s="52" t="s">
        <v>297</v>
      </c>
      <c r="J107" s="45" t="str">
        <f>VLOOKUP(Table13232[[#This Row],[Track]],$C$836:$E$882,2,FALSE)</f>
        <v>Vic</v>
      </c>
      <c r="K107" s="49">
        <v>100</v>
      </c>
      <c r="L107" s="45">
        <f>IF(Table13232[[#This Row],[Fin]]&lt;&gt;"1st","",Table13232[[#This Row],[Div]]*Table13232[[#This Row],[Lev Bet]])</f>
        <v>340</v>
      </c>
      <c r="M107" s="45">
        <f>IF(Table13232[[#This Row],[Lev Ret]]="",Table13232[[#This Row],[Lev Bet]]*-1,L107-K107)</f>
        <v>240</v>
      </c>
      <c r="N107" s="135">
        <v>150</v>
      </c>
      <c r="O107" s="135">
        <f>IF(Table13232[[#This Row],[Fin]]&lt;&gt;"1st","",Table13232[[#This Row],[Div]]*Table13232[[#This Row],[Nat and Combo Bet]])</f>
        <v>510</v>
      </c>
      <c r="P107" s="135">
        <f>IF(Table13232[[#This Row],[Lev Ret]]="",Table13232[[#This Row],[Nat and Combo Bet]]*-1,O107-N107)</f>
        <v>360</v>
      </c>
      <c r="Q107" s="50">
        <f t="shared" si="3"/>
        <v>1</v>
      </c>
      <c r="R107" s="50">
        <f>IF(AND(Q106=2,Q107=1),"",IF(Q107=2,(N107+N108)/2,IF(Table13232[[#This Row],[Dual Listing]]=1,Table13232[[#This Row],[Nat and Combo Bet]],11)))</f>
        <v>150</v>
      </c>
      <c r="S107" s="50">
        <f t="shared" si="4"/>
        <v>510</v>
      </c>
      <c r="T107" s="50">
        <f t="shared" si="5"/>
        <v>360</v>
      </c>
      <c r="U107" s="50" t="str">
        <f>IF(Table13232[[#This Row],[Date]]&lt;$U$4,"","Live")</f>
        <v/>
      </c>
      <c r="V107" s="45" t="str">
        <f>TEXT(Table13232[[#This Row],[Date]],"DDD")</f>
        <v>Sat</v>
      </c>
      <c r="W107" s="45" t="str">
        <f>PROPER(TRIM(Table13232[[#This Row],[Horse]]))</f>
        <v>Samangu</v>
      </c>
    </row>
    <row r="108" spans="1:23" x14ac:dyDescent="0.25">
      <c r="A108" s="43">
        <v>45710</v>
      </c>
      <c r="B108" s="44">
        <v>0.52083333333333337</v>
      </c>
      <c r="C108" s="44" t="s">
        <v>11</v>
      </c>
      <c r="D108" s="45">
        <v>1</v>
      </c>
      <c r="E108" s="45">
        <v>10</v>
      </c>
      <c r="F108" s="46" t="s">
        <v>385</v>
      </c>
      <c r="G108" s="46" t="s">
        <v>21</v>
      </c>
      <c r="H108" s="47">
        <v>6.9</v>
      </c>
      <c r="I108" s="52" t="s">
        <v>297</v>
      </c>
      <c r="J108" s="45" t="str">
        <f>VLOOKUP(Table13232[[#This Row],[Track]],$C$836:$E$882,2,FALSE)</f>
        <v>NSW</v>
      </c>
      <c r="K108" s="49">
        <v>100</v>
      </c>
      <c r="L108" s="45">
        <f>IF(Table13232[[#This Row],[Fin]]&lt;&gt;"1st","",Table13232[[#This Row],[Div]]*Table13232[[#This Row],[Lev Bet]])</f>
        <v>690</v>
      </c>
      <c r="M108" s="45">
        <f>IF(Table13232[[#This Row],[Lev Ret]]="",Table13232[[#This Row],[Lev Bet]]*-1,L108-K108)</f>
        <v>590</v>
      </c>
      <c r="N108" s="135">
        <v>100</v>
      </c>
      <c r="O108" s="135">
        <f>IF(Table13232[[#This Row],[Fin]]&lt;&gt;"1st","",Table13232[[#This Row],[Div]]*Table13232[[#This Row],[Nat and Combo Bet]])</f>
        <v>690</v>
      </c>
      <c r="P108" s="135">
        <f>IF(Table13232[[#This Row],[Lev Ret]]="",Table13232[[#This Row],[Nat and Combo Bet]]*-1,O108-N108)</f>
        <v>590</v>
      </c>
      <c r="Q108" s="50">
        <f t="shared" si="3"/>
        <v>1</v>
      </c>
      <c r="R108" s="50">
        <f>IF(AND(Q107=2,Q108=1),"",IF(Q108=2,(N108+N109)/2,IF(Table13232[[#This Row],[Dual Listing]]=1,Table13232[[#This Row],[Nat and Combo Bet]],11)))</f>
        <v>100</v>
      </c>
      <c r="S108" s="50">
        <f t="shared" si="4"/>
        <v>690</v>
      </c>
      <c r="T108" s="50">
        <f t="shared" si="5"/>
        <v>590</v>
      </c>
      <c r="U108" s="50" t="str">
        <f>IF(Table13232[[#This Row],[Date]]&lt;$U$4,"","Live")</f>
        <v/>
      </c>
      <c r="V108" s="45" t="str">
        <f>TEXT(Table13232[[#This Row],[Date]],"DDD")</f>
        <v>Sat</v>
      </c>
      <c r="W108" s="45" t="str">
        <f>PROPER(TRIM(Table13232[[#This Row],[Horse]]))</f>
        <v>Rush Attack</v>
      </c>
    </row>
    <row r="109" spans="1:23" x14ac:dyDescent="0.25">
      <c r="A109" s="43">
        <v>45710</v>
      </c>
      <c r="B109" s="44">
        <v>0.57430555555555551</v>
      </c>
      <c r="C109" s="44" t="s">
        <v>9</v>
      </c>
      <c r="D109" s="45">
        <v>2</v>
      </c>
      <c r="E109" s="45">
        <v>6</v>
      </c>
      <c r="F109" s="46" t="s">
        <v>490</v>
      </c>
      <c r="G109" s="46" t="s">
        <v>21</v>
      </c>
      <c r="H109" s="47">
        <v>1.85</v>
      </c>
      <c r="I109" s="47" t="s">
        <v>298</v>
      </c>
      <c r="J109" s="45" t="str">
        <f>VLOOKUP(Table13232[[#This Row],[Track]],$C$836:$E$882,2,FALSE)</f>
        <v>Qld</v>
      </c>
      <c r="K109" s="49">
        <v>100</v>
      </c>
      <c r="L109" s="45">
        <f>IF(Table13232[[#This Row],[Fin]]&lt;&gt;"1st","",Table13232[[#This Row],[Div]]*Table13232[[#This Row],[Lev Bet]])</f>
        <v>185</v>
      </c>
      <c r="M109" s="45">
        <f>IF(Table13232[[#This Row],[Lev Ret]]="",Table13232[[#This Row],[Lev Bet]]*-1,L109-K109)</f>
        <v>85</v>
      </c>
      <c r="N109" s="135">
        <v>100</v>
      </c>
      <c r="O109" s="135">
        <f>IF(Table13232[[#This Row],[Fin]]&lt;&gt;"1st","",Table13232[[#This Row],[Div]]*Table13232[[#This Row],[Nat and Combo Bet]])</f>
        <v>185</v>
      </c>
      <c r="P109" s="135">
        <f>IF(Table13232[[#This Row],[Lev Ret]]="",Table13232[[#This Row],[Nat and Combo Bet]]*-1,O109-N109)</f>
        <v>85</v>
      </c>
      <c r="Q109" s="50">
        <f t="shared" si="3"/>
        <v>1</v>
      </c>
      <c r="R109" s="50">
        <f>IF(AND(Q108=2,Q109=1),"",IF(Q109=2,(N109+N110)/2,IF(Table13232[[#This Row],[Dual Listing]]=1,Table13232[[#This Row],[Nat and Combo Bet]],11)))</f>
        <v>100</v>
      </c>
      <c r="S109" s="50">
        <f t="shared" si="4"/>
        <v>185</v>
      </c>
      <c r="T109" s="50">
        <f t="shared" si="5"/>
        <v>85</v>
      </c>
      <c r="U109" s="50" t="str">
        <f>IF(Table13232[[#This Row],[Date]]&lt;$U$4,"","Live")</f>
        <v/>
      </c>
      <c r="V109" s="45" t="str">
        <f>TEXT(Table13232[[#This Row],[Date]],"DDD")</f>
        <v>Sat</v>
      </c>
      <c r="W109" s="45" t="str">
        <f>PROPER(TRIM(Table13232[[#This Row],[Horse]]))</f>
        <v>Diablo Bolt</v>
      </c>
    </row>
    <row r="110" spans="1:23" x14ac:dyDescent="0.25">
      <c r="A110" s="43">
        <v>45710</v>
      </c>
      <c r="B110" s="44">
        <v>0.62847222222222221</v>
      </c>
      <c r="C110" s="44" t="s">
        <v>34</v>
      </c>
      <c r="D110" s="45">
        <v>6</v>
      </c>
      <c r="E110" s="45">
        <v>6</v>
      </c>
      <c r="F110" s="46" t="s">
        <v>491</v>
      </c>
      <c r="G110" s="46" t="s">
        <v>21</v>
      </c>
      <c r="H110" s="47">
        <v>6.1</v>
      </c>
      <c r="I110" s="47" t="s">
        <v>298</v>
      </c>
      <c r="J110" s="45" t="str">
        <f>VLOOKUP(Table13232[[#This Row],[Track]],$C$836:$E$882,2,FALSE)</f>
        <v>Vic</v>
      </c>
      <c r="K110" s="49">
        <v>100</v>
      </c>
      <c r="L110" s="45">
        <f>IF(Table13232[[#This Row],[Fin]]&lt;&gt;"1st","",Table13232[[#This Row],[Div]]*Table13232[[#This Row],[Lev Bet]])</f>
        <v>610</v>
      </c>
      <c r="M110" s="45">
        <f>IF(Table13232[[#This Row],[Lev Ret]]="",Table13232[[#This Row],[Lev Bet]]*-1,L110-K110)</f>
        <v>510</v>
      </c>
      <c r="N110" s="135">
        <v>200</v>
      </c>
      <c r="O110" s="135">
        <f>IF(Table13232[[#This Row],[Fin]]&lt;&gt;"1st","",Table13232[[#This Row],[Div]]*Table13232[[#This Row],[Nat and Combo Bet]])</f>
        <v>1220</v>
      </c>
      <c r="P110" s="135">
        <f>IF(Table13232[[#This Row],[Lev Ret]]="",Table13232[[#This Row],[Nat and Combo Bet]]*-1,O110-N110)</f>
        <v>1020</v>
      </c>
      <c r="Q110" s="50">
        <f t="shared" si="3"/>
        <v>1</v>
      </c>
      <c r="R110" s="50">
        <f>IF(AND(Q109=2,Q110=1),"",IF(Q110=2,(N110+N111)/2,IF(Table13232[[#This Row],[Dual Listing]]=1,Table13232[[#This Row],[Nat and Combo Bet]],11)))</f>
        <v>200</v>
      </c>
      <c r="S110" s="50">
        <f t="shared" si="4"/>
        <v>1220</v>
      </c>
      <c r="T110" s="50">
        <f t="shared" si="5"/>
        <v>1020</v>
      </c>
      <c r="U110" s="50" t="str">
        <f>IF(Table13232[[#This Row],[Date]]&lt;$U$4,"","Live")</f>
        <v/>
      </c>
      <c r="V110" s="45" t="str">
        <f>TEXT(Table13232[[#This Row],[Date]],"DDD")</f>
        <v>Sat</v>
      </c>
      <c r="W110" s="45" t="str">
        <f>PROPER(TRIM(Table13232[[#This Row],[Horse]]))</f>
        <v>Coeur Volante</v>
      </c>
    </row>
    <row r="111" spans="1:23" x14ac:dyDescent="0.25">
      <c r="A111" s="109">
        <v>45710</v>
      </c>
      <c r="B111" s="53">
        <v>0.65277777777777779</v>
      </c>
      <c r="C111" s="110" t="s">
        <v>34</v>
      </c>
      <c r="D111" s="111">
        <v>7</v>
      </c>
      <c r="E111" s="111">
        <v>1</v>
      </c>
      <c r="F111" s="112" t="s">
        <v>42</v>
      </c>
      <c r="G111" s="112" t="s">
        <v>21</v>
      </c>
      <c r="H111" s="113">
        <v>1.8</v>
      </c>
      <c r="I111" s="114" t="s">
        <v>297</v>
      </c>
      <c r="J111" s="45" t="str">
        <f>VLOOKUP(Table13232[[#This Row],[Track]],$C$836:$E$882,2,FALSE)</f>
        <v>Vic</v>
      </c>
      <c r="K111" s="55">
        <v>100</v>
      </c>
      <c r="L111" s="54">
        <f>IF(Table13232[[#This Row],[Fin]]&lt;&gt;"1st","",Table13232[[#This Row],[Div]]*Table13232[[#This Row],[Lev Bet]])</f>
        <v>180</v>
      </c>
      <c r="M111" s="54">
        <f>IF(Table13232[[#This Row],[Lev Ret]]="",Table13232[[#This Row],[Lev Bet]]*-1,L111-K111)</f>
        <v>80</v>
      </c>
      <c r="N111" s="135">
        <v>200</v>
      </c>
      <c r="O111" s="135">
        <f>IF(Table13232[[#This Row],[Fin]]&lt;&gt;"1st","",Table13232[[#This Row],[Div]]*Table13232[[#This Row],[Nat and Combo Bet]])</f>
        <v>360</v>
      </c>
      <c r="P111" s="135">
        <f>IF(Table13232[[#This Row],[Lev Ret]]="",Table13232[[#This Row],[Nat and Combo Bet]]*-1,O111-N111)</f>
        <v>160</v>
      </c>
      <c r="Q111" s="50">
        <f t="shared" si="3"/>
        <v>2</v>
      </c>
      <c r="R111" s="50">
        <f>IF(AND(Q110=2,Q111=1),"",IF(Q111=2,(N111+N112)/2,IF(Table13232[[#This Row],[Dual Listing]]=1,Table13232[[#This Row],[Nat and Combo Bet]],11)))</f>
        <v>200</v>
      </c>
      <c r="S111" s="50">
        <f t="shared" si="4"/>
        <v>360</v>
      </c>
      <c r="T111" s="50">
        <f t="shared" si="5"/>
        <v>160</v>
      </c>
      <c r="U111" s="50" t="str">
        <f>IF(Table13232[[#This Row],[Date]]&lt;$U$4,"","Live")</f>
        <v/>
      </c>
      <c r="V111" s="45" t="str">
        <f>TEXT(Table13232[[#This Row],[Date]],"DDD")</f>
        <v>Sat</v>
      </c>
      <c r="W111" s="45" t="str">
        <f>PROPER(TRIM(Table13232[[#This Row],[Horse]]))</f>
        <v>Mr Brightside</v>
      </c>
    </row>
    <row r="112" spans="1:23" x14ac:dyDescent="0.25">
      <c r="A112" s="109">
        <v>45710</v>
      </c>
      <c r="B112" s="53">
        <v>0.65277777777777779</v>
      </c>
      <c r="C112" s="110" t="s">
        <v>34</v>
      </c>
      <c r="D112" s="111">
        <v>7</v>
      </c>
      <c r="E112" s="111">
        <v>1</v>
      </c>
      <c r="F112" s="112" t="s">
        <v>42</v>
      </c>
      <c r="G112" s="112" t="s">
        <v>21</v>
      </c>
      <c r="H112" s="113">
        <v>1.8</v>
      </c>
      <c r="I112" s="113" t="s">
        <v>298</v>
      </c>
      <c r="J112" s="45" t="str">
        <f>VLOOKUP(Table13232[[#This Row],[Track]],$C$836:$E$882,2,FALSE)</f>
        <v>Vic</v>
      </c>
      <c r="K112" s="55">
        <v>100</v>
      </c>
      <c r="L112" s="54">
        <f>IF(Table13232[[#This Row],[Fin]]&lt;&gt;"1st","",Table13232[[#This Row],[Div]]*Table13232[[#This Row],[Lev Bet]])</f>
        <v>180</v>
      </c>
      <c r="M112" s="54">
        <f>IF(Table13232[[#This Row],[Lev Ret]]="",Table13232[[#This Row],[Lev Bet]]*-1,L112-K112)</f>
        <v>80</v>
      </c>
      <c r="N112" s="135">
        <v>200</v>
      </c>
      <c r="O112" s="135">
        <f>IF(Table13232[[#This Row],[Fin]]&lt;&gt;"1st","",Table13232[[#This Row],[Div]]*Table13232[[#This Row],[Nat and Combo Bet]])</f>
        <v>360</v>
      </c>
      <c r="P112" s="135">
        <f>IF(Table13232[[#This Row],[Lev Ret]]="",Table13232[[#This Row],[Nat and Combo Bet]]*-1,O112-N112)</f>
        <v>160</v>
      </c>
      <c r="Q112" s="50">
        <f t="shared" si="3"/>
        <v>1</v>
      </c>
      <c r="R112" s="50" t="str">
        <f>IF(AND(Q111=2,Q112=1),"",IF(Q112=2,(N112+N113)/2,IF(Table13232[[#This Row],[Dual Listing]]=1,Table13232[[#This Row],[Nat and Combo Bet]],11)))</f>
        <v/>
      </c>
      <c r="S112" s="50" t="str">
        <f t="shared" si="4"/>
        <v/>
      </c>
      <c r="T112" s="50" t="str">
        <f t="shared" si="5"/>
        <v/>
      </c>
      <c r="U112" s="50" t="str">
        <f>IF(Table13232[[#This Row],[Date]]&lt;$U$4,"","Live")</f>
        <v/>
      </c>
      <c r="V112" s="45" t="str">
        <f>TEXT(Table13232[[#This Row],[Date]],"DDD")</f>
        <v>Sat</v>
      </c>
      <c r="W112" s="45" t="str">
        <f>PROPER(TRIM(Table13232[[#This Row],[Horse]]))</f>
        <v>Mr Brightside</v>
      </c>
    </row>
    <row r="113" spans="1:23" x14ac:dyDescent="0.25">
      <c r="A113" s="43">
        <v>45710</v>
      </c>
      <c r="B113" s="44">
        <v>0.72430555555555554</v>
      </c>
      <c r="C113" s="44" t="s">
        <v>9</v>
      </c>
      <c r="D113" s="45">
        <v>8</v>
      </c>
      <c r="E113" s="45">
        <v>3</v>
      </c>
      <c r="F113" s="46" t="s">
        <v>492</v>
      </c>
      <c r="G113" s="46" t="s">
        <v>21</v>
      </c>
      <c r="H113" s="47">
        <v>3.4</v>
      </c>
      <c r="I113" s="47" t="s">
        <v>298</v>
      </c>
      <c r="J113" s="45" t="str">
        <f>VLOOKUP(Table13232[[#This Row],[Track]],$C$836:$E$882,2,FALSE)</f>
        <v>Qld</v>
      </c>
      <c r="K113" s="49">
        <v>100</v>
      </c>
      <c r="L113" s="45">
        <f>IF(Table13232[[#This Row],[Fin]]&lt;&gt;"1st","",Table13232[[#This Row],[Div]]*Table13232[[#This Row],[Lev Bet]])</f>
        <v>340</v>
      </c>
      <c r="M113" s="45">
        <f>IF(Table13232[[#This Row],[Lev Ret]]="",Table13232[[#This Row],[Lev Bet]]*-1,L113-K113)</f>
        <v>240</v>
      </c>
      <c r="N113" s="135">
        <v>100</v>
      </c>
      <c r="O113" s="135">
        <f>IF(Table13232[[#This Row],[Fin]]&lt;&gt;"1st","",Table13232[[#This Row],[Div]]*Table13232[[#This Row],[Nat and Combo Bet]])</f>
        <v>340</v>
      </c>
      <c r="P113" s="135">
        <f>IF(Table13232[[#This Row],[Lev Ret]]="",Table13232[[#This Row],[Nat and Combo Bet]]*-1,O113-N113)</f>
        <v>240</v>
      </c>
      <c r="Q113" s="50">
        <f t="shared" si="3"/>
        <v>1</v>
      </c>
      <c r="R113" s="50">
        <f>IF(AND(Q112=2,Q113=1),"",IF(Q113=2,(N113+N114)/2,IF(Table13232[[#This Row],[Dual Listing]]=1,Table13232[[#This Row],[Nat and Combo Bet]],11)))</f>
        <v>100</v>
      </c>
      <c r="S113" s="50">
        <f t="shared" si="4"/>
        <v>340</v>
      </c>
      <c r="T113" s="50">
        <f t="shared" si="5"/>
        <v>240</v>
      </c>
      <c r="U113" s="50" t="str">
        <f>IF(Table13232[[#This Row],[Date]]&lt;$U$4,"","Live")</f>
        <v/>
      </c>
      <c r="V113" s="45" t="str">
        <f>TEXT(Table13232[[#This Row],[Date]],"DDD")</f>
        <v>Sat</v>
      </c>
      <c r="W113" s="45" t="str">
        <f>PROPER(TRIM(Table13232[[#This Row],[Horse]]))</f>
        <v>King Kapa</v>
      </c>
    </row>
    <row r="114" spans="1:23" x14ac:dyDescent="0.25">
      <c r="A114" s="43">
        <v>45710</v>
      </c>
      <c r="B114" s="44">
        <v>0.73263888888888884</v>
      </c>
      <c r="C114" s="44" t="s">
        <v>34</v>
      </c>
      <c r="D114" s="45">
        <v>10</v>
      </c>
      <c r="E114" s="45">
        <v>7</v>
      </c>
      <c r="F114" s="46" t="s">
        <v>386</v>
      </c>
      <c r="G114" s="46"/>
      <c r="H114" s="47"/>
      <c r="I114" s="52" t="s">
        <v>297</v>
      </c>
      <c r="J114" s="45" t="str">
        <f>VLOOKUP(Table13232[[#This Row],[Track]],$C$836:$E$882,2,FALSE)</f>
        <v>Vic</v>
      </c>
      <c r="K114" s="49">
        <v>100</v>
      </c>
      <c r="L114" s="45" t="str">
        <f>IF(Table13232[[#This Row],[Fin]]&lt;&gt;"1st","",Table13232[[#This Row],[Div]]*Table13232[[#This Row],[Lev Bet]])</f>
        <v/>
      </c>
      <c r="M114" s="45">
        <f>IF(Table13232[[#This Row],[Lev Ret]]="",Table13232[[#This Row],[Lev Bet]]*-1,L114-K114)</f>
        <v>-100</v>
      </c>
      <c r="N114" s="135">
        <v>50</v>
      </c>
      <c r="O114" s="135" t="str">
        <f>IF(Table13232[[#This Row],[Fin]]&lt;&gt;"1st","",Table13232[[#This Row],[Div]]*Table13232[[#This Row],[Nat and Combo Bet]])</f>
        <v/>
      </c>
      <c r="P114" s="135">
        <f>IF(Table13232[[#This Row],[Lev Ret]]="",Table13232[[#This Row],[Nat and Combo Bet]]*-1,O114-N114)</f>
        <v>-50</v>
      </c>
      <c r="Q114" s="50">
        <f t="shared" si="3"/>
        <v>1</v>
      </c>
      <c r="R114" s="50">
        <f>IF(AND(Q113=2,Q114=1),"",IF(Q114=2,(N114+N115)/2,IF(Table13232[[#This Row],[Dual Listing]]=1,Table13232[[#This Row],[Nat and Combo Bet]],11)))</f>
        <v>50</v>
      </c>
      <c r="S114" s="50" t="str">
        <f t="shared" si="4"/>
        <v/>
      </c>
      <c r="T114" s="50">
        <f t="shared" si="5"/>
        <v>-50</v>
      </c>
      <c r="U114" s="50" t="str">
        <f>IF(Table13232[[#This Row],[Date]]&lt;$U$4,"","Live")</f>
        <v/>
      </c>
      <c r="V114" s="45" t="str">
        <f>TEXT(Table13232[[#This Row],[Date]],"DDD")</f>
        <v>Sat</v>
      </c>
      <c r="W114" s="45" t="str">
        <f>PROPER(TRIM(Table13232[[#This Row],[Horse]]))</f>
        <v>Positivity</v>
      </c>
    </row>
    <row r="115" spans="1:23" x14ac:dyDescent="0.25">
      <c r="A115" s="43">
        <v>45710</v>
      </c>
      <c r="B115" s="44">
        <v>0.73263888888888884</v>
      </c>
      <c r="C115" s="44" t="s">
        <v>34</v>
      </c>
      <c r="D115" s="45">
        <v>10</v>
      </c>
      <c r="E115" s="45">
        <v>10</v>
      </c>
      <c r="F115" s="46" t="s">
        <v>91</v>
      </c>
      <c r="G115" s="46" t="s">
        <v>22</v>
      </c>
      <c r="H115" s="47"/>
      <c r="I115" s="52" t="s">
        <v>297</v>
      </c>
      <c r="J115" s="45" t="str">
        <f>VLOOKUP(Table13232[[#This Row],[Track]],$C$836:$E$882,2,FALSE)</f>
        <v>Vic</v>
      </c>
      <c r="K115" s="49">
        <v>100</v>
      </c>
      <c r="L115" s="45" t="str">
        <f>IF(Table13232[[#This Row],[Fin]]&lt;&gt;"1st","",Table13232[[#This Row],[Div]]*Table13232[[#This Row],[Lev Bet]])</f>
        <v/>
      </c>
      <c r="M115" s="45">
        <f>IF(Table13232[[#This Row],[Lev Ret]]="",Table13232[[#This Row],[Lev Bet]]*-1,L115-K115)</f>
        <v>-100</v>
      </c>
      <c r="N115" s="135">
        <v>100</v>
      </c>
      <c r="O115" s="135" t="str">
        <f>IF(Table13232[[#This Row],[Fin]]&lt;&gt;"1st","",Table13232[[#This Row],[Div]]*Table13232[[#This Row],[Nat and Combo Bet]])</f>
        <v/>
      </c>
      <c r="P115" s="135">
        <f>IF(Table13232[[#This Row],[Lev Ret]]="",Table13232[[#This Row],[Nat and Combo Bet]]*-1,O115-N115)</f>
        <v>-100</v>
      </c>
      <c r="Q115" s="50">
        <f t="shared" si="3"/>
        <v>1</v>
      </c>
      <c r="R115" s="50">
        <f>IF(AND(Q114=2,Q115=1),"",IF(Q115=2,(N115+N116)/2,IF(Table13232[[#This Row],[Dual Listing]]=1,Table13232[[#This Row],[Nat and Combo Bet]],11)))</f>
        <v>100</v>
      </c>
      <c r="S115" s="50" t="str">
        <f t="shared" si="4"/>
        <v/>
      </c>
      <c r="T115" s="50">
        <f t="shared" si="5"/>
        <v>-100</v>
      </c>
      <c r="U115" s="50" t="str">
        <f>IF(Table13232[[#This Row],[Date]]&lt;$U$4,"","Live")</f>
        <v/>
      </c>
      <c r="V115" s="45" t="str">
        <f>TEXT(Table13232[[#This Row],[Date]],"DDD")</f>
        <v>Sat</v>
      </c>
      <c r="W115" s="45" t="str">
        <f>PROPER(TRIM(Table13232[[#This Row],[Horse]]))</f>
        <v>Shaiyhar</v>
      </c>
    </row>
    <row r="116" spans="1:23" x14ac:dyDescent="0.25">
      <c r="A116" s="43">
        <v>45717</v>
      </c>
      <c r="B116" s="44">
        <v>0.53125</v>
      </c>
      <c r="C116" s="44" t="s">
        <v>10</v>
      </c>
      <c r="D116" s="45">
        <v>2</v>
      </c>
      <c r="E116" s="45">
        <v>2</v>
      </c>
      <c r="F116" s="46" t="s">
        <v>92</v>
      </c>
      <c r="G116" s="46" t="s">
        <v>21</v>
      </c>
      <c r="H116" s="47">
        <v>1.9</v>
      </c>
      <c r="I116" s="52" t="s">
        <v>297</v>
      </c>
      <c r="J116" s="45" t="str">
        <f>VLOOKUP(Table13232[[#This Row],[Track]],$C$836:$E$882,2,FALSE)</f>
        <v>Vic</v>
      </c>
      <c r="K116" s="49">
        <v>100</v>
      </c>
      <c r="L116" s="45">
        <f>IF(Table13232[[#This Row],[Fin]]&lt;&gt;"1st","",Table13232[[#This Row],[Div]]*Table13232[[#This Row],[Lev Bet]])</f>
        <v>190</v>
      </c>
      <c r="M116" s="45">
        <f>IF(Table13232[[#This Row],[Lev Ret]]="",Table13232[[#This Row],[Lev Bet]]*-1,L116-K116)</f>
        <v>90</v>
      </c>
      <c r="N116" s="135">
        <v>200</v>
      </c>
      <c r="O116" s="135">
        <f>IF(Table13232[[#This Row],[Fin]]&lt;&gt;"1st","",Table13232[[#This Row],[Div]]*Table13232[[#This Row],[Nat and Combo Bet]])</f>
        <v>380</v>
      </c>
      <c r="P116" s="135">
        <f>IF(Table13232[[#This Row],[Lev Ret]]="",Table13232[[#This Row],[Nat and Combo Bet]]*-1,O116-N116)</f>
        <v>180</v>
      </c>
      <c r="Q116" s="50">
        <f t="shared" si="3"/>
        <v>1</v>
      </c>
      <c r="R116" s="50">
        <f>IF(AND(Q115=2,Q116=1),"",IF(Q116=2,(N116+N117)/2,IF(Table13232[[#This Row],[Dual Listing]]=1,Table13232[[#This Row],[Nat and Combo Bet]],11)))</f>
        <v>200</v>
      </c>
      <c r="S116" s="50">
        <f t="shared" si="4"/>
        <v>380</v>
      </c>
      <c r="T116" s="50">
        <f t="shared" si="5"/>
        <v>180</v>
      </c>
      <c r="U116" s="50" t="str">
        <f>IF(Table13232[[#This Row],[Date]]&lt;$U$4,"","Live")</f>
        <v/>
      </c>
      <c r="V116" s="45" t="str">
        <f>TEXT(Table13232[[#This Row],[Date]],"DDD")</f>
        <v>Sat</v>
      </c>
      <c r="W116" s="45" t="str">
        <f>PROPER(TRIM(Table13232[[#This Row],[Horse]]))</f>
        <v>Revelare</v>
      </c>
    </row>
    <row r="117" spans="1:23" x14ac:dyDescent="0.25">
      <c r="A117" s="43">
        <v>45717</v>
      </c>
      <c r="B117" s="44">
        <v>0.55555555555555558</v>
      </c>
      <c r="C117" s="44" t="s">
        <v>10</v>
      </c>
      <c r="D117" s="45">
        <v>3</v>
      </c>
      <c r="E117" s="45">
        <v>4</v>
      </c>
      <c r="F117" s="46" t="s">
        <v>388</v>
      </c>
      <c r="G117" s="46"/>
      <c r="H117" s="47"/>
      <c r="I117" s="52" t="s">
        <v>297</v>
      </c>
      <c r="J117" s="45" t="str">
        <f>VLOOKUP(Table13232[[#This Row],[Track]],$C$836:$E$882,2,FALSE)</f>
        <v>Vic</v>
      </c>
      <c r="K117" s="49">
        <v>100</v>
      </c>
      <c r="L117" s="45" t="str">
        <f>IF(Table13232[[#This Row],[Fin]]&lt;&gt;"1st","",Table13232[[#This Row],[Div]]*Table13232[[#This Row],[Lev Bet]])</f>
        <v/>
      </c>
      <c r="M117" s="45">
        <f>IF(Table13232[[#This Row],[Lev Ret]]="",Table13232[[#This Row],[Lev Bet]]*-1,L117-K117)</f>
        <v>-100</v>
      </c>
      <c r="N117" s="135">
        <v>150</v>
      </c>
      <c r="O117" s="135" t="str">
        <f>IF(Table13232[[#This Row],[Fin]]&lt;&gt;"1st","",Table13232[[#This Row],[Div]]*Table13232[[#This Row],[Nat and Combo Bet]])</f>
        <v/>
      </c>
      <c r="P117" s="135">
        <f>IF(Table13232[[#This Row],[Lev Ret]]="",Table13232[[#This Row],[Nat and Combo Bet]]*-1,O117-N117)</f>
        <v>-150</v>
      </c>
      <c r="Q117" s="50">
        <f t="shared" si="3"/>
        <v>1</v>
      </c>
      <c r="R117" s="50">
        <f>IF(AND(Q116=2,Q117=1),"",IF(Q117=2,(N117+N118)/2,IF(Table13232[[#This Row],[Dual Listing]]=1,Table13232[[#This Row],[Nat and Combo Bet]],11)))</f>
        <v>150</v>
      </c>
      <c r="S117" s="50" t="str">
        <f t="shared" si="4"/>
        <v/>
      </c>
      <c r="T117" s="50">
        <f t="shared" si="5"/>
        <v>-150</v>
      </c>
      <c r="U117" s="50" t="str">
        <f>IF(Table13232[[#This Row],[Date]]&lt;$U$4,"","Live")</f>
        <v/>
      </c>
      <c r="V117" s="45" t="str">
        <f>TEXT(Table13232[[#This Row],[Date]],"DDD")</f>
        <v>Sat</v>
      </c>
      <c r="W117" s="45" t="str">
        <f>PROPER(TRIM(Table13232[[#This Row],[Horse]]))</f>
        <v>Band Of Brothers</v>
      </c>
    </row>
    <row r="118" spans="1:23" x14ac:dyDescent="0.25">
      <c r="A118" s="43">
        <v>45717</v>
      </c>
      <c r="B118" s="44">
        <v>0.55555555555555558</v>
      </c>
      <c r="C118" s="44" t="s">
        <v>10</v>
      </c>
      <c r="D118" s="45">
        <v>3</v>
      </c>
      <c r="E118" s="45">
        <v>3</v>
      </c>
      <c r="F118" s="46" t="s">
        <v>387</v>
      </c>
      <c r="G118" s="46" t="s">
        <v>23</v>
      </c>
      <c r="H118" s="47"/>
      <c r="I118" s="52" t="s">
        <v>297</v>
      </c>
      <c r="J118" s="45" t="str">
        <f>VLOOKUP(Table13232[[#This Row],[Track]],$C$836:$E$882,2,FALSE)</f>
        <v>Vic</v>
      </c>
      <c r="K118" s="49">
        <v>100</v>
      </c>
      <c r="L118" s="45" t="str">
        <f>IF(Table13232[[#This Row],[Fin]]&lt;&gt;"1st","",Table13232[[#This Row],[Div]]*Table13232[[#This Row],[Lev Bet]])</f>
        <v/>
      </c>
      <c r="M118" s="45">
        <f>IF(Table13232[[#This Row],[Lev Ret]]="",Table13232[[#This Row],[Lev Bet]]*-1,L118-K118)</f>
        <v>-100</v>
      </c>
      <c r="N118" s="135">
        <v>150</v>
      </c>
      <c r="O118" s="135" t="str">
        <f>IF(Table13232[[#This Row],[Fin]]&lt;&gt;"1st","",Table13232[[#This Row],[Div]]*Table13232[[#This Row],[Nat and Combo Bet]])</f>
        <v/>
      </c>
      <c r="P118" s="135">
        <f>IF(Table13232[[#This Row],[Lev Ret]]="",Table13232[[#This Row],[Nat and Combo Bet]]*-1,O118-N118)</f>
        <v>-150</v>
      </c>
      <c r="Q118" s="50">
        <f t="shared" si="3"/>
        <v>1</v>
      </c>
      <c r="R118" s="50">
        <f>IF(AND(Q117=2,Q118=1),"",IF(Q118=2,(N118+N119)/2,IF(Table13232[[#This Row],[Dual Listing]]=1,Table13232[[#This Row],[Nat and Combo Bet]],11)))</f>
        <v>150</v>
      </c>
      <c r="S118" s="50" t="str">
        <f t="shared" si="4"/>
        <v/>
      </c>
      <c r="T118" s="50">
        <f t="shared" si="5"/>
        <v>-150</v>
      </c>
      <c r="U118" s="50" t="str">
        <f>IF(Table13232[[#This Row],[Date]]&lt;$U$4,"","Live")</f>
        <v/>
      </c>
      <c r="V118" s="45" t="str">
        <f>TEXT(Table13232[[#This Row],[Date]],"DDD")</f>
        <v>Sat</v>
      </c>
      <c r="W118" s="45" t="str">
        <f>PROPER(TRIM(Table13232[[#This Row],[Horse]]))</f>
        <v>Bossy Nic</v>
      </c>
    </row>
    <row r="119" spans="1:23" x14ac:dyDescent="0.25">
      <c r="A119" s="43">
        <v>45717</v>
      </c>
      <c r="B119" s="44">
        <v>0.55555555555555558</v>
      </c>
      <c r="C119" s="44" t="s">
        <v>10</v>
      </c>
      <c r="D119" s="45">
        <v>3</v>
      </c>
      <c r="E119" s="45">
        <v>2</v>
      </c>
      <c r="F119" s="46" t="s">
        <v>95</v>
      </c>
      <c r="G119" s="46" t="s">
        <v>21</v>
      </c>
      <c r="H119" s="47">
        <v>4.7</v>
      </c>
      <c r="I119" s="47" t="s">
        <v>298</v>
      </c>
      <c r="J119" s="45" t="str">
        <f>VLOOKUP(Table13232[[#This Row],[Track]],$C$836:$E$882,2,FALSE)</f>
        <v>Vic</v>
      </c>
      <c r="K119" s="49">
        <v>100</v>
      </c>
      <c r="L119" s="45">
        <f>IF(Table13232[[#This Row],[Fin]]&lt;&gt;"1st","",Table13232[[#This Row],[Div]]*Table13232[[#This Row],[Lev Bet]])</f>
        <v>470</v>
      </c>
      <c r="M119" s="45">
        <f>IF(Table13232[[#This Row],[Lev Ret]]="",Table13232[[#This Row],[Lev Bet]]*-1,L119-K119)</f>
        <v>370</v>
      </c>
      <c r="N119" s="135">
        <v>200</v>
      </c>
      <c r="O119" s="135">
        <f>IF(Table13232[[#This Row],[Fin]]&lt;&gt;"1st","",Table13232[[#This Row],[Div]]*Table13232[[#This Row],[Nat and Combo Bet]])</f>
        <v>940</v>
      </c>
      <c r="P119" s="135">
        <f>IF(Table13232[[#This Row],[Lev Ret]]="",Table13232[[#This Row],[Nat and Combo Bet]]*-1,O119-N119)</f>
        <v>740</v>
      </c>
      <c r="Q119" s="50">
        <f t="shared" si="3"/>
        <v>1</v>
      </c>
      <c r="R119" s="50">
        <f>IF(AND(Q118=2,Q119=1),"",IF(Q119=2,(N119+N120)/2,IF(Table13232[[#This Row],[Dual Listing]]=1,Table13232[[#This Row],[Nat and Combo Bet]],11)))</f>
        <v>200</v>
      </c>
      <c r="S119" s="50">
        <f t="shared" si="4"/>
        <v>940</v>
      </c>
      <c r="T119" s="50">
        <f t="shared" si="5"/>
        <v>740</v>
      </c>
      <c r="U119" s="50" t="str">
        <f>IF(Table13232[[#This Row],[Date]]&lt;$U$4,"","Live")</f>
        <v/>
      </c>
      <c r="V119" s="45" t="str">
        <f>TEXT(Table13232[[#This Row],[Date]],"DDD")</f>
        <v>Sat</v>
      </c>
      <c r="W119" s="45" t="str">
        <f>PROPER(TRIM(Table13232[[#This Row],[Horse]]))</f>
        <v>Midwest</v>
      </c>
    </row>
    <row r="120" spans="1:23" x14ac:dyDescent="0.25">
      <c r="A120" s="109">
        <v>45717</v>
      </c>
      <c r="B120" s="53">
        <v>0.56944444444444442</v>
      </c>
      <c r="C120" s="110" t="s">
        <v>13</v>
      </c>
      <c r="D120" s="111">
        <v>3</v>
      </c>
      <c r="E120" s="111">
        <v>6</v>
      </c>
      <c r="F120" s="112" t="s">
        <v>96</v>
      </c>
      <c r="G120" s="112" t="s">
        <v>21</v>
      </c>
      <c r="H120" s="113">
        <v>2.6</v>
      </c>
      <c r="I120" s="114" t="s">
        <v>297</v>
      </c>
      <c r="J120" s="45" t="str">
        <f>VLOOKUP(Table13232[[#This Row],[Track]],$C$836:$E$882,2,FALSE)</f>
        <v>NSW</v>
      </c>
      <c r="K120" s="55">
        <v>100</v>
      </c>
      <c r="L120" s="54">
        <f>IF(Table13232[[#This Row],[Fin]]&lt;&gt;"1st","",Table13232[[#This Row],[Div]]*Table13232[[#This Row],[Lev Bet]])</f>
        <v>260</v>
      </c>
      <c r="M120" s="54">
        <f>IF(Table13232[[#This Row],[Lev Ret]]="",Table13232[[#This Row],[Lev Bet]]*-1,L120-K120)</f>
        <v>160</v>
      </c>
      <c r="N120" s="135">
        <v>150</v>
      </c>
      <c r="O120" s="135">
        <f>IF(Table13232[[#This Row],[Fin]]&lt;&gt;"1st","",Table13232[[#This Row],[Div]]*Table13232[[#This Row],[Nat and Combo Bet]])</f>
        <v>390</v>
      </c>
      <c r="P120" s="135">
        <f>IF(Table13232[[#This Row],[Lev Ret]]="",Table13232[[#This Row],[Nat and Combo Bet]]*-1,O120-N120)</f>
        <v>240</v>
      </c>
      <c r="Q120" s="50">
        <f t="shared" si="3"/>
        <v>2</v>
      </c>
      <c r="R120" s="50">
        <f>IF(AND(Q119=2,Q120=1),"",IF(Q120=2,(N120+N121)/2,IF(Table13232[[#This Row],[Dual Listing]]=1,Table13232[[#This Row],[Nat and Combo Bet]],11)))</f>
        <v>150</v>
      </c>
      <c r="S120" s="50">
        <f t="shared" si="4"/>
        <v>390</v>
      </c>
      <c r="T120" s="50">
        <f t="shared" si="5"/>
        <v>240</v>
      </c>
      <c r="U120" s="50" t="str">
        <f>IF(Table13232[[#This Row],[Date]]&lt;$U$4,"","Live")</f>
        <v/>
      </c>
      <c r="V120" s="45" t="str">
        <f>TEXT(Table13232[[#This Row],[Date]],"DDD")</f>
        <v>Sat</v>
      </c>
      <c r="W120" s="45" t="str">
        <f>PROPER(TRIM(Table13232[[#This Row],[Horse]]))</f>
        <v>Spring Lee</v>
      </c>
    </row>
    <row r="121" spans="1:23" x14ac:dyDescent="0.25">
      <c r="A121" s="109">
        <v>45717</v>
      </c>
      <c r="B121" s="53">
        <v>0.56944444444444442</v>
      </c>
      <c r="C121" s="110" t="s">
        <v>13</v>
      </c>
      <c r="D121" s="111">
        <v>3</v>
      </c>
      <c r="E121" s="111">
        <v>6</v>
      </c>
      <c r="F121" s="112" t="s">
        <v>96</v>
      </c>
      <c r="G121" s="112" t="s">
        <v>21</v>
      </c>
      <c r="H121" s="113">
        <v>2.6</v>
      </c>
      <c r="I121" s="113" t="s">
        <v>298</v>
      </c>
      <c r="J121" s="45" t="str">
        <f>VLOOKUP(Table13232[[#This Row],[Track]],$C$836:$E$882,2,FALSE)</f>
        <v>NSW</v>
      </c>
      <c r="K121" s="55">
        <v>100</v>
      </c>
      <c r="L121" s="54">
        <f>IF(Table13232[[#This Row],[Fin]]&lt;&gt;"1st","",Table13232[[#This Row],[Div]]*Table13232[[#This Row],[Lev Bet]])</f>
        <v>260</v>
      </c>
      <c r="M121" s="54">
        <f>IF(Table13232[[#This Row],[Lev Ret]]="",Table13232[[#This Row],[Lev Bet]]*-1,L121-K121)</f>
        <v>160</v>
      </c>
      <c r="N121" s="135">
        <v>150</v>
      </c>
      <c r="O121" s="135">
        <f>IF(Table13232[[#This Row],[Fin]]&lt;&gt;"1st","",Table13232[[#This Row],[Div]]*Table13232[[#This Row],[Nat and Combo Bet]])</f>
        <v>390</v>
      </c>
      <c r="P121" s="135">
        <f>IF(Table13232[[#This Row],[Lev Ret]]="",Table13232[[#This Row],[Nat and Combo Bet]]*-1,O121-N121)</f>
        <v>240</v>
      </c>
      <c r="Q121" s="50">
        <f t="shared" si="3"/>
        <v>1</v>
      </c>
      <c r="R121" s="50" t="str">
        <f>IF(AND(Q120=2,Q121=1),"",IF(Q121=2,(N121+N122)/2,IF(Table13232[[#This Row],[Dual Listing]]=1,Table13232[[#This Row],[Nat and Combo Bet]],11)))</f>
        <v/>
      </c>
      <c r="S121" s="50" t="str">
        <f t="shared" si="4"/>
        <v/>
      </c>
      <c r="T121" s="50" t="str">
        <f t="shared" si="5"/>
        <v/>
      </c>
      <c r="U121" s="50" t="str">
        <f>IF(Table13232[[#This Row],[Date]]&lt;$U$4,"","Live")</f>
        <v/>
      </c>
      <c r="V121" s="45" t="str">
        <f>TEXT(Table13232[[#This Row],[Date]],"DDD")</f>
        <v>Sat</v>
      </c>
      <c r="W121" s="45" t="str">
        <f>PROPER(TRIM(Table13232[[#This Row],[Horse]]))</f>
        <v>Spring Lee</v>
      </c>
    </row>
    <row r="122" spans="1:23" x14ac:dyDescent="0.25">
      <c r="A122" s="109">
        <v>45717</v>
      </c>
      <c r="B122" s="53">
        <v>0.60416666666666663</v>
      </c>
      <c r="C122" s="110" t="s">
        <v>10</v>
      </c>
      <c r="D122" s="111">
        <v>5</v>
      </c>
      <c r="E122" s="111">
        <v>7</v>
      </c>
      <c r="F122" s="112" t="s">
        <v>97</v>
      </c>
      <c r="G122" s="112" t="s">
        <v>21</v>
      </c>
      <c r="H122" s="113">
        <v>3.6</v>
      </c>
      <c r="I122" s="114" t="s">
        <v>297</v>
      </c>
      <c r="J122" s="45" t="str">
        <f>VLOOKUP(Table13232[[#This Row],[Track]],$C$836:$E$882,2,FALSE)</f>
        <v>Vic</v>
      </c>
      <c r="K122" s="55">
        <v>100</v>
      </c>
      <c r="L122" s="54">
        <f>IF(Table13232[[#This Row],[Fin]]&lt;&gt;"1st","",Table13232[[#This Row],[Div]]*Table13232[[#This Row],[Lev Bet]])</f>
        <v>360</v>
      </c>
      <c r="M122" s="54">
        <f>IF(Table13232[[#This Row],[Lev Ret]]="",Table13232[[#This Row],[Lev Bet]]*-1,L122-K122)</f>
        <v>260</v>
      </c>
      <c r="N122" s="135">
        <v>50</v>
      </c>
      <c r="O122" s="135">
        <f>IF(Table13232[[#This Row],[Fin]]&lt;&gt;"1st","",Table13232[[#This Row],[Div]]*Table13232[[#This Row],[Nat and Combo Bet]])</f>
        <v>180</v>
      </c>
      <c r="P122" s="135">
        <f>IF(Table13232[[#This Row],[Lev Ret]]="",Table13232[[#This Row],[Nat and Combo Bet]]*-1,O122-N122)</f>
        <v>130</v>
      </c>
      <c r="Q122" s="50">
        <f t="shared" si="3"/>
        <v>2</v>
      </c>
      <c r="R122" s="50">
        <f>IF(AND(Q121=2,Q122=1),"",IF(Q122=2,(N122+N123)/2,IF(Table13232[[#This Row],[Dual Listing]]=1,Table13232[[#This Row],[Nat and Combo Bet]],11)))</f>
        <v>75</v>
      </c>
      <c r="S122" s="50">
        <f t="shared" si="4"/>
        <v>270</v>
      </c>
      <c r="T122" s="50">
        <f t="shared" si="5"/>
        <v>195</v>
      </c>
      <c r="U122" s="50" t="str">
        <f>IF(Table13232[[#This Row],[Date]]&lt;$U$4,"","Live")</f>
        <v/>
      </c>
      <c r="V122" s="45" t="str">
        <f>TEXT(Table13232[[#This Row],[Date]],"DDD")</f>
        <v>Sat</v>
      </c>
      <c r="W122" s="45" t="str">
        <f>PROPER(TRIM(Table13232[[#This Row],[Horse]]))</f>
        <v>Scillato</v>
      </c>
    </row>
    <row r="123" spans="1:23" x14ac:dyDescent="0.25">
      <c r="A123" s="109">
        <v>45717</v>
      </c>
      <c r="B123" s="53">
        <v>0.60416666666666663</v>
      </c>
      <c r="C123" s="110" t="s">
        <v>10</v>
      </c>
      <c r="D123" s="111">
        <v>5</v>
      </c>
      <c r="E123" s="111">
        <v>7</v>
      </c>
      <c r="F123" s="112" t="s">
        <v>97</v>
      </c>
      <c r="G123" s="112" t="s">
        <v>21</v>
      </c>
      <c r="H123" s="113">
        <v>3.6</v>
      </c>
      <c r="I123" s="113" t="s">
        <v>298</v>
      </c>
      <c r="J123" s="45" t="str">
        <f>VLOOKUP(Table13232[[#This Row],[Track]],$C$836:$E$882,2,FALSE)</f>
        <v>Vic</v>
      </c>
      <c r="K123" s="55">
        <v>100</v>
      </c>
      <c r="L123" s="54">
        <f>IF(Table13232[[#This Row],[Fin]]&lt;&gt;"1st","",Table13232[[#This Row],[Div]]*Table13232[[#This Row],[Lev Bet]])</f>
        <v>360</v>
      </c>
      <c r="M123" s="54">
        <f>IF(Table13232[[#This Row],[Lev Ret]]="",Table13232[[#This Row],[Lev Bet]]*-1,L123-K123)</f>
        <v>260</v>
      </c>
      <c r="N123" s="135">
        <v>100</v>
      </c>
      <c r="O123" s="135">
        <f>IF(Table13232[[#This Row],[Fin]]&lt;&gt;"1st","",Table13232[[#This Row],[Div]]*Table13232[[#This Row],[Nat and Combo Bet]])</f>
        <v>360</v>
      </c>
      <c r="P123" s="135">
        <f>IF(Table13232[[#This Row],[Lev Ret]]="",Table13232[[#This Row],[Nat and Combo Bet]]*-1,O123-N123)</f>
        <v>260</v>
      </c>
      <c r="Q123" s="50">
        <f t="shared" si="3"/>
        <v>1</v>
      </c>
      <c r="R123" s="50" t="str">
        <f>IF(AND(Q122=2,Q123=1),"",IF(Q123=2,(N123+N124)/2,IF(Table13232[[#This Row],[Dual Listing]]=1,Table13232[[#This Row],[Nat and Combo Bet]],11)))</f>
        <v/>
      </c>
      <c r="S123" s="50" t="str">
        <f t="shared" si="4"/>
        <v/>
      </c>
      <c r="T123" s="50" t="str">
        <f t="shared" si="5"/>
        <v/>
      </c>
      <c r="U123" s="50" t="str">
        <f>IF(Table13232[[#This Row],[Date]]&lt;$U$4,"","Live")</f>
        <v/>
      </c>
      <c r="V123" s="45" t="str">
        <f>TEXT(Table13232[[#This Row],[Date]],"DDD")</f>
        <v>Sat</v>
      </c>
      <c r="W123" s="45" t="str">
        <f>PROPER(TRIM(Table13232[[#This Row],[Horse]]))</f>
        <v>Scillato</v>
      </c>
    </row>
    <row r="124" spans="1:23" x14ac:dyDescent="0.25">
      <c r="A124" s="43">
        <v>45717</v>
      </c>
      <c r="B124" s="44">
        <v>0.62847222222222221</v>
      </c>
      <c r="C124" s="44" t="s">
        <v>10</v>
      </c>
      <c r="D124" s="45">
        <v>6</v>
      </c>
      <c r="E124" s="45">
        <v>5</v>
      </c>
      <c r="F124" s="46" t="s">
        <v>89</v>
      </c>
      <c r="G124" s="46"/>
      <c r="H124" s="47"/>
      <c r="I124" s="52" t="s">
        <v>297</v>
      </c>
      <c r="J124" s="45" t="str">
        <f>VLOOKUP(Table13232[[#This Row],[Track]],$C$836:$E$882,2,FALSE)</f>
        <v>Vic</v>
      </c>
      <c r="K124" s="49">
        <v>100</v>
      </c>
      <c r="L124" s="45" t="str">
        <f>IF(Table13232[[#This Row],[Fin]]&lt;&gt;"1st","",Table13232[[#This Row],[Div]]*Table13232[[#This Row],[Lev Bet]])</f>
        <v/>
      </c>
      <c r="M124" s="45">
        <f>IF(Table13232[[#This Row],[Lev Ret]]="",Table13232[[#This Row],[Lev Bet]]*-1,L124-K124)</f>
        <v>-100</v>
      </c>
      <c r="N124" s="135">
        <v>100</v>
      </c>
      <c r="O124" s="135" t="str">
        <f>IF(Table13232[[#This Row],[Fin]]&lt;&gt;"1st","",Table13232[[#This Row],[Div]]*Table13232[[#This Row],[Nat and Combo Bet]])</f>
        <v/>
      </c>
      <c r="P124" s="135">
        <f>IF(Table13232[[#This Row],[Lev Ret]]="",Table13232[[#This Row],[Nat and Combo Bet]]*-1,O124-N124)</f>
        <v>-100</v>
      </c>
      <c r="Q124" s="50">
        <f t="shared" si="3"/>
        <v>1</v>
      </c>
      <c r="R124" s="50">
        <f>IF(AND(Q123=2,Q124=1),"",IF(Q124=2,(N124+N125)/2,IF(Table13232[[#This Row],[Dual Listing]]=1,Table13232[[#This Row],[Nat and Combo Bet]],11)))</f>
        <v>100</v>
      </c>
      <c r="S124" s="50" t="str">
        <f t="shared" si="4"/>
        <v/>
      </c>
      <c r="T124" s="50">
        <f t="shared" si="5"/>
        <v>-100</v>
      </c>
      <c r="U124" s="50" t="str">
        <f>IF(Table13232[[#This Row],[Date]]&lt;$U$4,"","Live")</f>
        <v/>
      </c>
      <c r="V124" s="45" t="str">
        <f>TEXT(Table13232[[#This Row],[Date]],"DDD")</f>
        <v>Sat</v>
      </c>
      <c r="W124" s="45" t="str">
        <f>PROPER(TRIM(Table13232[[#This Row],[Horse]]))</f>
        <v>Name Dropper</v>
      </c>
    </row>
    <row r="125" spans="1:23" x14ac:dyDescent="0.25">
      <c r="A125" s="43">
        <v>45717</v>
      </c>
      <c r="B125" s="44">
        <v>0.64236111111111116</v>
      </c>
      <c r="C125" s="44" t="s">
        <v>13</v>
      </c>
      <c r="D125" s="45">
        <v>6</v>
      </c>
      <c r="E125" s="45">
        <v>1</v>
      </c>
      <c r="F125" s="46" t="s">
        <v>98</v>
      </c>
      <c r="G125" s="46" t="s">
        <v>21</v>
      </c>
      <c r="H125" s="47">
        <v>2.0499999999999998</v>
      </c>
      <c r="I125" s="47" t="s">
        <v>298</v>
      </c>
      <c r="J125" s="45" t="str">
        <f>VLOOKUP(Table13232[[#This Row],[Track]],$C$836:$E$882,2,FALSE)</f>
        <v>NSW</v>
      </c>
      <c r="K125" s="49">
        <v>100</v>
      </c>
      <c r="L125" s="45">
        <f>IF(Table13232[[#This Row],[Fin]]&lt;&gt;"1st","",Table13232[[#This Row],[Div]]*Table13232[[#This Row],[Lev Bet]])</f>
        <v>204.99999999999997</v>
      </c>
      <c r="M125" s="45">
        <f>IF(Table13232[[#This Row],[Lev Ret]]="",Table13232[[#This Row],[Lev Bet]]*-1,L125-K125)</f>
        <v>104.99999999999997</v>
      </c>
      <c r="N125" s="135">
        <v>150</v>
      </c>
      <c r="O125" s="135">
        <f>IF(Table13232[[#This Row],[Fin]]&lt;&gt;"1st","",Table13232[[#This Row],[Div]]*Table13232[[#This Row],[Nat and Combo Bet]])</f>
        <v>307.5</v>
      </c>
      <c r="P125" s="135">
        <f>IF(Table13232[[#This Row],[Lev Ret]]="",Table13232[[#This Row],[Nat and Combo Bet]]*-1,O125-N125)</f>
        <v>157.5</v>
      </c>
      <c r="Q125" s="50">
        <f t="shared" si="3"/>
        <v>1</v>
      </c>
      <c r="R125" s="50">
        <f>IF(AND(Q124=2,Q125=1),"",IF(Q125=2,(N125+N126)/2,IF(Table13232[[#This Row],[Dual Listing]]=1,Table13232[[#This Row],[Nat and Combo Bet]],11)))</f>
        <v>150</v>
      </c>
      <c r="S125" s="50">
        <f t="shared" si="4"/>
        <v>307.5</v>
      </c>
      <c r="T125" s="50">
        <f t="shared" si="5"/>
        <v>157.5</v>
      </c>
      <c r="U125" s="50" t="str">
        <f>IF(Table13232[[#This Row],[Date]]&lt;$U$4,"","Live")</f>
        <v/>
      </c>
      <c r="V125" s="45" t="str">
        <f>TEXT(Table13232[[#This Row],[Date]],"DDD")</f>
        <v>Sat</v>
      </c>
      <c r="W125" s="45" t="str">
        <f>PROPER(TRIM(Table13232[[#This Row],[Horse]]))</f>
        <v>Amelias Jewel</v>
      </c>
    </row>
    <row r="126" spans="1:23" x14ac:dyDescent="0.25">
      <c r="A126" s="43">
        <v>45717</v>
      </c>
      <c r="B126" s="44">
        <v>0.64722222222222225</v>
      </c>
      <c r="C126" s="44" t="s">
        <v>12</v>
      </c>
      <c r="D126" s="45">
        <v>5</v>
      </c>
      <c r="E126" s="45">
        <v>2</v>
      </c>
      <c r="F126" s="46" t="s">
        <v>99</v>
      </c>
      <c r="G126" s="46" t="s">
        <v>23</v>
      </c>
      <c r="H126" s="47"/>
      <c r="I126" s="47" t="s">
        <v>298</v>
      </c>
      <c r="J126" s="45" t="str">
        <f>VLOOKUP(Table13232[[#This Row],[Track]],$C$836:$E$882,2,FALSE)</f>
        <v>Qld</v>
      </c>
      <c r="K126" s="49">
        <v>100</v>
      </c>
      <c r="L126" s="45" t="str">
        <f>IF(Table13232[[#This Row],[Fin]]&lt;&gt;"1st","",Table13232[[#This Row],[Div]]*Table13232[[#This Row],[Lev Bet]])</f>
        <v/>
      </c>
      <c r="M126" s="45">
        <f>IF(Table13232[[#This Row],[Lev Ret]]="",Table13232[[#This Row],[Lev Bet]]*-1,L126-K126)</f>
        <v>-100</v>
      </c>
      <c r="N126" s="135">
        <v>100</v>
      </c>
      <c r="O126" s="135" t="str">
        <f>IF(Table13232[[#This Row],[Fin]]&lt;&gt;"1st","",Table13232[[#This Row],[Div]]*Table13232[[#This Row],[Nat and Combo Bet]])</f>
        <v/>
      </c>
      <c r="P126" s="135">
        <f>IF(Table13232[[#This Row],[Lev Ret]]="",Table13232[[#This Row],[Nat and Combo Bet]]*-1,O126-N126)</f>
        <v>-100</v>
      </c>
      <c r="Q126" s="50">
        <f t="shared" si="3"/>
        <v>1</v>
      </c>
      <c r="R126" s="50">
        <f>IF(AND(Q125=2,Q126=1),"",IF(Q126=2,(N126+N127)/2,IF(Table13232[[#This Row],[Dual Listing]]=1,Table13232[[#This Row],[Nat and Combo Bet]],11)))</f>
        <v>100</v>
      </c>
      <c r="S126" s="50" t="str">
        <f t="shared" si="4"/>
        <v/>
      </c>
      <c r="T126" s="50">
        <f t="shared" si="5"/>
        <v>-100</v>
      </c>
      <c r="U126" s="50" t="str">
        <f>IF(Table13232[[#This Row],[Date]]&lt;$U$4,"","Live")</f>
        <v/>
      </c>
      <c r="V126" s="45" t="str">
        <f>TEXT(Table13232[[#This Row],[Date]],"DDD")</f>
        <v>Sat</v>
      </c>
      <c r="W126" s="45" t="str">
        <f>PROPER(TRIM(Table13232[[#This Row],[Horse]]))</f>
        <v>El Jasor</v>
      </c>
    </row>
    <row r="127" spans="1:23" x14ac:dyDescent="0.25">
      <c r="A127" s="43">
        <v>45717</v>
      </c>
      <c r="B127" s="44">
        <v>0.65277777777777779</v>
      </c>
      <c r="C127" s="44" t="s">
        <v>10</v>
      </c>
      <c r="D127" s="45">
        <v>7</v>
      </c>
      <c r="E127" s="45">
        <v>10</v>
      </c>
      <c r="F127" s="46" t="s">
        <v>100</v>
      </c>
      <c r="G127" s="46"/>
      <c r="H127" s="47"/>
      <c r="I127" s="52" t="s">
        <v>297</v>
      </c>
      <c r="J127" s="45" t="str">
        <f>VLOOKUP(Table13232[[#This Row],[Track]],$C$836:$E$882,2,FALSE)</f>
        <v>Vic</v>
      </c>
      <c r="K127" s="49">
        <v>100</v>
      </c>
      <c r="L127" s="45" t="str">
        <f>IF(Table13232[[#This Row],[Fin]]&lt;&gt;"1st","",Table13232[[#This Row],[Div]]*Table13232[[#This Row],[Lev Bet]])</f>
        <v/>
      </c>
      <c r="M127" s="45">
        <f>IF(Table13232[[#This Row],[Lev Ret]]="",Table13232[[#This Row],[Lev Bet]]*-1,L127-K127)</f>
        <v>-100</v>
      </c>
      <c r="N127" s="135">
        <v>160</v>
      </c>
      <c r="O127" s="135" t="str">
        <f>IF(Table13232[[#This Row],[Fin]]&lt;&gt;"1st","",Table13232[[#This Row],[Div]]*Table13232[[#This Row],[Nat and Combo Bet]])</f>
        <v/>
      </c>
      <c r="P127" s="135">
        <f>IF(Table13232[[#This Row],[Lev Ret]]="",Table13232[[#This Row],[Nat and Combo Bet]]*-1,O127-N127)</f>
        <v>-160</v>
      </c>
      <c r="Q127" s="50">
        <f t="shared" si="3"/>
        <v>1</v>
      </c>
      <c r="R127" s="50">
        <f>IF(AND(Q126=2,Q127=1),"",IF(Q127=2,(N127+N128)/2,IF(Table13232[[#This Row],[Dual Listing]]=1,Table13232[[#This Row],[Nat and Combo Bet]],11)))</f>
        <v>160</v>
      </c>
      <c r="S127" s="50" t="str">
        <f t="shared" si="4"/>
        <v/>
      </c>
      <c r="T127" s="50">
        <f t="shared" si="5"/>
        <v>-160</v>
      </c>
      <c r="U127" s="50" t="str">
        <f>IF(Table13232[[#This Row],[Date]]&lt;$U$4,"","Live")</f>
        <v/>
      </c>
      <c r="V127" s="45" t="str">
        <f>TEXT(Table13232[[#This Row],[Date]],"DDD")</f>
        <v>Sat</v>
      </c>
      <c r="W127" s="45" t="str">
        <f>PROPER(TRIM(Table13232[[#This Row],[Horse]]))</f>
        <v>Place Du Carrousel</v>
      </c>
    </row>
    <row r="128" spans="1:23" x14ac:dyDescent="0.25">
      <c r="A128" s="43">
        <v>45717</v>
      </c>
      <c r="B128" s="44">
        <v>0.65277777777777779</v>
      </c>
      <c r="C128" s="44" t="s">
        <v>10</v>
      </c>
      <c r="D128" s="45">
        <v>7</v>
      </c>
      <c r="E128" s="45">
        <v>7</v>
      </c>
      <c r="F128" s="46" t="s">
        <v>389</v>
      </c>
      <c r="G128" s="46"/>
      <c r="H128" s="47"/>
      <c r="I128" s="52" t="s">
        <v>297</v>
      </c>
      <c r="J128" s="45" t="str">
        <f>VLOOKUP(Table13232[[#This Row],[Track]],$C$836:$E$882,2,FALSE)</f>
        <v>Vic</v>
      </c>
      <c r="K128" s="49">
        <v>100</v>
      </c>
      <c r="L128" s="45" t="str">
        <f>IF(Table13232[[#This Row],[Fin]]&lt;&gt;"1st","",Table13232[[#This Row],[Div]]*Table13232[[#This Row],[Lev Bet]])</f>
        <v/>
      </c>
      <c r="M128" s="45">
        <f>IF(Table13232[[#This Row],[Lev Ret]]="",Table13232[[#This Row],[Lev Bet]]*-1,L128-K128)</f>
        <v>-100</v>
      </c>
      <c r="N128" s="135">
        <v>100</v>
      </c>
      <c r="O128" s="135" t="str">
        <f>IF(Table13232[[#This Row],[Fin]]&lt;&gt;"1st","",Table13232[[#This Row],[Div]]*Table13232[[#This Row],[Nat and Combo Bet]])</f>
        <v/>
      </c>
      <c r="P128" s="135">
        <f>IF(Table13232[[#This Row],[Lev Ret]]="",Table13232[[#This Row],[Nat and Combo Bet]]*-1,O128-N128)</f>
        <v>-100</v>
      </c>
      <c r="Q128" s="50">
        <f t="shared" si="3"/>
        <v>1</v>
      </c>
      <c r="R128" s="50">
        <f>IF(AND(Q127=2,Q128=1),"",IF(Q128=2,(N128+N129)/2,IF(Table13232[[#This Row],[Dual Listing]]=1,Table13232[[#This Row],[Nat and Combo Bet]],11)))</f>
        <v>100</v>
      </c>
      <c r="S128" s="50" t="str">
        <f t="shared" si="4"/>
        <v/>
      </c>
      <c r="T128" s="50">
        <f t="shared" si="5"/>
        <v>-100</v>
      </c>
      <c r="U128" s="50" t="str">
        <f>IF(Table13232[[#This Row],[Date]]&lt;$U$4,"","Live")</f>
        <v/>
      </c>
      <c r="V128" s="45" t="str">
        <f>TEXT(Table13232[[#This Row],[Date]],"DDD")</f>
        <v>Sat</v>
      </c>
      <c r="W128" s="45" t="str">
        <f>PROPER(TRIM(Table13232[[#This Row],[Horse]]))</f>
        <v>Steparty</v>
      </c>
    </row>
    <row r="129" spans="1:23" x14ac:dyDescent="0.25">
      <c r="A129" s="43">
        <v>45717</v>
      </c>
      <c r="B129" s="44">
        <v>0.66666666666666663</v>
      </c>
      <c r="C129" s="44" t="s">
        <v>13</v>
      </c>
      <c r="D129" s="45">
        <v>7</v>
      </c>
      <c r="E129" s="45">
        <v>1</v>
      </c>
      <c r="F129" s="46" t="s">
        <v>101</v>
      </c>
      <c r="G129" s="46" t="s">
        <v>21</v>
      </c>
      <c r="H129" s="47">
        <v>1.35</v>
      </c>
      <c r="I129" s="47" t="s">
        <v>298</v>
      </c>
      <c r="J129" s="45" t="str">
        <f>VLOOKUP(Table13232[[#This Row],[Track]],$C$836:$E$882,2,FALSE)</f>
        <v>NSW</v>
      </c>
      <c r="K129" s="49">
        <v>100</v>
      </c>
      <c r="L129" s="45">
        <f>IF(Table13232[[#This Row],[Fin]]&lt;&gt;"1st","",Table13232[[#This Row],[Div]]*Table13232[[#This Row],[Lev Bet]])</f>
        <v>135</v>
      </c>
      <c r="M129" s="45">
        <f>IF(Table13232[[#This Row],[Lev Ret]]="",Table13232[[#This Row],[Lev Bet]]*-1,L129-K129)</f>
        <v>35</v>
      </c>
      <c r="N129" s="135">
        <v>150</v>
      </c>
      <c r="O129" s="135">
        <f>IF(Table13232[[#This Row],[Fin]]&lt;&gt;"1st","",Table13232[[#This Row],[Div]]*Table13232[[#This Row],[Nat and Combo Bet]])</f>
        <v>202.5</v>
      </c>
      <c r="P129" s="135">
        <f>IF(Table13232[[#This Row],[Lev Ret]]="",Table13232[[#This Row],[Nat and Combo Bet]]*-1,O129-N129)</f>
        <v>52.5</v>
      </c>
      <c r="Q129" s="50">
        <f t="shared" si="3"/>
        <v>1</v>
      </c>
      <c r="R129" s="50">
        <f>IF(AND(Q128=2,Q129=1),"",IF(Q129=2,(N129+N130)/2,IF(Table13232[[#This Row],[Dual Listing]]=1,Table13232[[#This Row],[Nat and Combo Bet]],11)))</f>
        <v>150</v>
      </c>
      <c r="S129" s="50">
        <f t="shared" si="4"/>
        <v>202.5</v>
      </c>
      <c r="T129" s="50">
        <f t="shared" si="5"/>
        <v>52.5</v>
      </c>
      <c r="U129" s="50" t="str">
        <f>IF(Table13232[[#This Row],[Date]]&lt;$U$4,"","Live")</f>
        <v/>
      </c>
      <c r="V129" s="45" t="str">
        <f>TEXT(Table13232[[#This Row],[Date]],"DDD")</f>
        <v>Sat</v>
      </c>
      <c r="W129" s="45" t="str">
        <f>PROPER(TRIM(Table13232[[#This Row],[Horse]]))</f>
        <v>Lady Shenandoah</v>
      </c>
    </row>
    <row r="130" spans="1:23" x14ac:dyDescent="0.25">
      <c r="A130" s="43">
        <v>45717</v>
      </c>
      <c r="B130" s="44">
        <v>0.67152777777777772</v>
      </c>
      <c r="C130" s="44" t="s">
        <v>12</v>
      </c>
      <c r="D130" s="45">
        <v>6</v>
      </c>
      <c r="E130" s="45">
        <v>6</v>
      </c>
      <c r="F130" s="46" t="s">
        <v>102</v>
      </c>
      <c r="G130" s="46" t="s">
        <v>21</v>
      </c>
      <c r="H130" s="47">
        <v>3.1</v>
      </c>
      <c r="I130" s="47" t="s">
        <v>298</v>
      </c>
      <c r="J130" s="45" t="str">
        <f>VLOOKUP(Table13232[[#This Row],[Track]],$C$836:$E$882,2,FALSE)</f>
        <v>Qld</v>
      </c>
      <c r="K130" s="49">
        <v>100</v>
      </c>
      <c r="L130" s="45">
        <f>IF(Table13232[[#This Row],[Fin]]&lt;&gt;"1st","",Table13232[[#This Row],[Div]]*Table13232[[#This Row],[Lev Bet]])</f>
        <v>310</v>
      </c>
      <c r="M130" s="45">
        <f>IF(Table13232[[#This Row],[Lev Ret]]="",Table13232[[#This Row],[Lev Bet]]*-1,L130-K130)</f>
        <v>210</v>
      </c>
      <c r="N130" s="135">
        <v>100</v>
      </c>
      <c r="O130" s="135">
        <f>IF(Table13232[[#This Row],[Fin]]&lt;&gt;"1st","",Table13232[[#This Row],[Div]]*Table13232[[#This Row],[Nat and Combo Bet]])</f>
        <v>310</v>
      </c>
      <c r="P130" s="135">
        <f>IF(Table13232[[#This Row],[Lev Ret]]="",Table13232[[#This Row],[Nat and Combo Bet]]*-1,O130-N130)</f>
        <v>210</v>
      </c>
      <c r="Q130" s="50">
        <f t="shared" si="3"/>
        <v>1</v>
      </c>
      <c r="R130" s="50">
        <f>IF(AND(Q129=2,Q130=1),"",IF(Q130=2,(N130+N131)/2,IF(Table13232[[#This Row],[Dual Listing]]=1,Table13232[[#This Row],[Nat and Combo Bet]],11)))</f>
        <v>100</v>
      </c>
      <c r="S130" s="50">
        <f t="shared" si="4"/>
        <v>310</v>
      </c>
      <c r="T130" s="50">
        <f t="shared" si="5"/>
        <v>210</v>
      </c>
      <c r="U130" s="50" t="str">
        <f>IF(Table13232[[#This Row],[Date]]&lt;$U$4,"","Live")</f>
        <v/>
      </c>
      <c r="V130" s="45" t="str">
        <f>TEXT(Table13232[[#This Row],[Date]],"DDD")</f>
        <v>Sat</v>
      </c>
      <c r="W130" s="45" t="str">
        <f>PROPER(TRIM(Table13232[[#This Row],[Horse]]))</f>
        <v>Set To Shine</v>
      </c>
    </row>
    <row r="131" spans="1:23" x14ac:dyDescent="0.25">
      <c r="A131" s="43">
        <v>45717</v>
      </c>
      <c r="B131" s="44">
        <v>0.67708333333333337</v>
      </c>
      <c r="C131" s="44" t="s">
        <v>10</v>
      </c>
      <c r="D131" s="45">
        <v>8</v>
      </c>
      <c r="E131" s="45">
        <v>12</v>
      </c>
      <c r="F131" s="46" t="s">
        <v>103</v>
      </c>
      <c r="G131" s="46"/>
      <c r="H131" s="47"/>
      <c r="I131" s="47" t="s">
        <v>298</v>
      </c>
      <c r="J131" s="45" t="str">
        <f>VLOOKUP(Table13232[[#This Row],[Track]],$C$836:$E$882,2,FALSE)</f>
        <v>Vic</v>
      </c>
      <c r="K131" s="49">
        <v>100</v>
      </c>
      <c r="L131" s="45" t="str">
        <f>IF(Table13232[[#This Row],[Fin]]&lt;&gt;"1st","",Table13232[[#This Row],[Div]]*Table13232[[#This Row],[Lev Bet]])</f>
        <v/>
      </c>
      <c r="M131" s="45">
        <f>IF(Table13232[[#This Row],[Lev Ret]]="",Table13232[[#This Row],[Lev Bet]]*-1,L131-K131)</f>
        <v>-100</v>
      </c>
      <c r="N131" s="135">
        <v>100</v>
      </c>
      <c r="O131" s="135" t="str">
        <f>IF(Table13232[[#This Row],[Fin]]&lt;&gt;"1st","",Table13232[[#This Row],[Div]]*Table13232[[#This Row],[Nat and Combo Bet]])</f>
        <v/>
      </c>
      <c r="P131" s="135">
        <f>IF(Table13232[[#This Row],[Lev Ret]]="",Table13232[[#This Row],[Nat and Combo Bet]]*-1,O131-N131)</f>
        <v>-100</v>
      </c>
      <c r="Q131" s="50">
        <f t="shared" si="3"/>
        <v>1</v>
      </c>
      <c r="R131" s="50">
        <f>IF(AND(Q130=2,Q131=1),"",IF(Q131=2,(N131+N132)/2,IF(Table13232[[#This Row],[Dual Listing]]=1,Table13232[[#This Row],[Nat and Combo Bet]],11)))</f>
        <v>100</v>
      </c>
      <c r="S131" s="50" t="str">
        <f t="shared" si="4"/>
        <v/>
      </c>
      <c r="T131" s="50">
        <f t="shared" si="5"/>
        <v>-100</v>
      </c>
      <c r="U131" s="50" t="str">
        <f>IF(Table13232[[#This Row],[Date]]&lt;$U$4,"","Live")</f>
        <v/>
      </c>
      <c r="V131" s="45" t="str">
        <f>TEXT(Table13232[[#This Row],[Date]],"DDD")</f>
        <v>Sat</v>
      </c>
      <c r="W131" s="45" t="str">
        <f>PROPER(TRIM(Table13232[[#This Row],[Horse]]))</f>
        <v>Sepals</v>
      </c>
    </row>
    <row r="132" spans="1:23" x14ac:dyDescent="0.25">
      <c r="A132" s="43">
        <v>45717</v>
      </c>
      <c r="B132" s="44">
        <v>0.69652777777777775</v>
      </c>
      <c r="C132" s="44" t="s">
        <v>12</v>
      </c>
      <c r="D132" s="45">
        <v>7</v>
      </c>
      <c r="E132" s="45">
        <v>2</v>
      </c>
      <c r="F132" s="46" t="s">
        <v>104</v>
      </c>
      <c r="G132" s="46" t="s">
        <v>22</v>
      </c>
      <c r="H132" s="47"/>
      <c r="I132" s="47" t="s">
        <v>298</v>
      </c>
      <c r="J132" s="45" t="str">
        <f>VLOOKUP(Table13232[[#This Row],[Track]],$C$836:$E$882,2,FALSE)</f>
        <v>Qld</v>
      </c>
      <c r="K132" s="49">
        <v>100</v>
      </c>
      <c r="L132" s="45" t="str">
        <f>IF(Table13232[[#This Row],[Fin]]&lt;&gt;"1st","",Table13232[[#This Row],[Div]]*Table13232[[#This Row],[Lev Bet]])</f>
        <v/>
      </c>
      <c r="M132" s="45">
        <f>IF(Table13232[[#This Row],[Lev Ret]]="",Table13232[[#This Row],[Lev Bet]]*-1,L132-K132)</f>
        <v>-100</v>
      </c>
      <c r="N132" s="135">
        <v>100</v>
      </c>
      <c r="O132" s="135" t="str">
        <f>IF(Table13232[[#This Row],[Fin]]&lt;&gt;"1st","",Table13232[[#This Row],[Div]]*Table13232[[#This Row],[Nat and Combo Bet]])</f>
        <v/>
      </c>
      <c r="P132" s="135">
        <f>IF(Table13232[[#This Row],[Lev Ret]]="",Table13232[[#This Row],[Nat and Combo Bet]]*-1,O132-N132)</f>
        <v>-100</v>
      </c>
      <c r="Q132" s="50">
        <f t="shared" si="3"/>
        <v>1</v>
      </c>
      <c r="R132" s="50">
        <f>IF(AND(Q131=2,Q132=1),"",IF(Q132=2,(N132+N133)/2,IF(Table13232[[#This Row],[Dual Listing]]=1,Table13232[[#This Row],[Nat and Combo Bet]],11)))</f>
        <v>100</v>
      </c>
      <c r="S132" s="50" t="str">
        <f t="shared" si="4"/>
        <v/>
      </c>
      <c r="T132" s="50">
        <f t="shared" si="5"/>
        <v>-100</v>
      </c>
      <c r="U132" s="50" t="str">
        <f>IF(Table13232[[#This Row],[Date]]&lt;$U$4,"","Live")</f>
        <v/>
      </c>
      <c r="V132" s="45" t="str">
        <f>TEXT(Table13232[[#This Row],[Date]],"DDD")</f>
        <v>Sat</v>
      </c>
      <c r="W132" s="45" t="str">
        <f>PROPER(TRIM(Table13232[[#This Row],[Horse]]))</f>
        <v>No Name Frank</v>
      </c>
    </row>
    <row r="133" spans="1:23" x14ac:dyDescent="0.25">
      <c r="A133" s="43">
        <v>45717</v>
      </c>
      <c r="B133" s="44">
        <v>0.71875</v>
      </c>
      <c r="C133" s="44" t="s">
        <v>13</v>
      </c>
      <c r="D133" s="45">
        <v>9</v>
      </c>
      <c r="E133" s="45">
        <v>3</v>
      </c>
      <c r="F133" s="46" t="s">
        <v>390</v>
      </c>
      <c r="G133" s="46" t="s">
        <v>21</v>
      </c>
      <c r="H133" s="47">
        <v>4.2</v>
      </c>
      <c r="I133" s="52" t="s">
        <v>297</v>
      </c>
      <c r="J133" s="45" t="str">
        <f>VLOOKUP(Table13232[[#This Row],[Track]],$C$836:$E$882,2,FALSE)</f>
        <v>NSW</v>
      </c>
      <c r="K133" s="49">
        <v>100</v>
      </c>
      <c r="L133" s="45">
        <f>IF(Table13232[[#This Row],[Fin]]&lt;&gt;"1st","",Table13232[[#This Row],[Div]]*Table13232[[#This Row],[Lev Bet]])</f>
        <v>420</v>
      </c>
      <c r="M133" s="45">
        <f>IF(Table13232[[#This Row],[Lev Ret]]="",Table13232[[#This Row],[Lev Bet]]*-1,L133-K133)</f>
        <v>320</v>
      </c>
      <c r="N133" s="135">
        <v>150</v>
      </c>
      <c r="O133" s="135">
        <f>IF(Table13232[[#This Row],[Fin]]&lt;&gt;"1st","",Table13232[[#This Row],[Div]]*Table13232[[#This Row],[Nat and Combo Bet]])</f>
        <v>630</v>
      </c>
      <c r="P133" s="135">
        <f>IF(Table13232[[#This Row],[Lev Ret]]="",Table13232[[#This Row],[Nat and Combo Bet]]*-1,O133-N133)</f>
        <v>480</v>
      </c>
      <c r="Q133" s="50">
        <f t="shared" si="3"/>
        <v>1</v>
      </c>
      <c r="R133" s="50">
        <f>IF(AND(Q132=2,Q133=1),"",IF(Q133=2,(N133+N134)/2,IF(Table13232[[#This Row],[Dual Listing]]=1,Table13232[[#This Row],[Nat and Combo Bet]],11)))</f>
        <v>150</v>
      </c>
      <c r="S133" s="50">
        <f t="shared" si="4"/>
        <v>630</v>
      </c>
      <c r="T133" s="50">
        <f t="shared" si="5"/>
        <v>480</v>
      </c>
      <c r="U133" s="50" t="str">
        <f>IF(Table13232[[#This Row],[Date]]&lt;$U$4,"","Live")</f>
        <v/>
      </c>
      <c r="V133" s="45" t="str">
        <f>TEXT(Table13232[[#This Row],[Date]],"DDD")</f>
        <v>Sat</v>
      </c>
      <c r="W133" s="45" t="str">
        <f>PROPER(TRIM(Table13232[[#This Row],[Horse]]))</f>
        <v>Iowna Merc</v>
      </c>
    </row>
    <row r="134" spans="1:23" x14ac:dyDescent="0.25">
      <c r="A134" s="43">
        <v>45717</v>
      </c>
      <c r="B134" s="44">
        <v>0.72430555555555554</v>
      </c>
      <c r="C134" s="44" t="s">
        <v>12</v>
      </c>
      <c r="D134" s="45">
        <v>8</v>
      </c>
      <c r="E134" s="45">
        <v>3</v>
      </c>
      <c r="F134" s="46" t="s">
        <v>105</v>
      </c>
      <c r="G134" s="46" t="s">
        <v>21</v>
      </c>
      <c r="H134" s="47">
        <v>4.4000000000000004</v>
      </c>
      <c r="I134" s="47" t="s">
        <v>298</v>
      </c>
      <c r="J134" s="45" t="str">
        <f>VLOOKUP(Table13232[[#This Row],[Track]],$C$836:$E$882,2,FALSE)</f>
        <v>Qld</v>
      </c>
      <c r="K134" s="49">
        <v>100</v>
      </c>
      <c r="L134" s="45">
        <f>IF(Table13232[[#This Row],[Fin]]&lt;&gt;"1st","",Table13232[[#This Row],[Div]]*Table13232[[#This Row],[Lev Bet]])</f>
        <v>440.00000000000006</v>
      </c>
      <c r="M134" s="45">
        <f>IF(Table13232[[#This Row],[Lev Ret]]="",Table13232[[#This Row],[Lev Bet]]*-1,L134-K134)</f>
        <v>340.00000000000006</v>
      </c>
      <c r="N134" s="135">
        <v>100</v>
      </c>
      <c r="O134" s="135">
        <f>IF(Table13232[[#This Row],[Fin]]&lt;&gt;"1st","",Table13232[[#This Row],[Div]]*Table13232[[#This Row],[Nat and Combo Bet]])</f>
        <v>440.00000000000006</v>
      </c>
      <c r="P134" s="135">
        <f>IF(Table13232[[#This Row],[Lev Ret]]="",Table13232[[#This Row],[Nat and Combo Bet]]*-1,O134-N134)</f>
        <v>340.00000000000006</v>
      </c>
      <c r="Q134" s="50">
        <f t="shared" si="3"/>
        <v>1</v>
      </c>
      <c r="R134" s="50">
        <f>IF(AND(Q133=2,Q134=1),"",IF(Q134=2,(N134+N135)/2,IF(Table13232[[#This Row],[Dual Listing]]=1,Table13232[[#This Row],[Nat and Combo Bet]],11)))</f>
        <v>100</v>
      </c>
      <c r="S134" s="50">
        <f t="shared" si="4"/>
        <v>440.00000000000006</v>
      </c>
      <c r="T134" s="50">
        <f t="shared" si="5"/>
        <v>340.00000000000006</v>
      </c>
      <c r="U134" s="50" t="str">
        <f>IF(Table13232[[#This Row],[Date]]&lt;$U$4,"","Live")</f>
        <v/>
      </c>
      <c r="V134" s="45" t="str">
        <f>TEXT(Table13232[[#This Row],[Date]],"DDD")</f>
        <v>Sat</v>
      </c>
      <c r="W134" s="45" t="str">
        <f>PROPER(TRIM(Table13232[[#This Row],[Horse]]))</f>
        <v>Wanda Rox</v>
      </c>
    </row>
    <row r="135" spans="1:23" x14ac:dyDescent="0.25">
      <c r="A135" s="43">
        <v>45717</v>
      </c>
      <c r="B135" s="44">
        <v>0.73263888888888884</v>
      </c>
      <c r="C135" s="44" t="s">
        <v>10</v>
      </c>
      <c r="D135" s="45">
        <v>10</v>
      </c>
      <c r="E135" s="45">
        <v>15</v>
      </c>
      <c r="F135" s="46" t="s">
        <v>106</v>
      </c>
      <c r="G135" s="46"/>
      <c r="H135" s="47"/>
      <c r="I135" s="47" t="s">
        <v>298</v>
      </c>
      <c r="J135" s="45" t="str">
        <f>VLOOKUP(Table13232[[#This Row],[Track]],$C$836:$E$882,2,FALSE)</f>
        <v>Vic</v>
      </c>
      <c r="K135" s="49">
        <v>100</v>
      </c>
      <c r="L135" s="45" t="str">
        <f>IF(Table13232[[#This Row],[Fin]]&lt;&gt;"1st","",Table13232[[#This Row],[Div]]*Table13232[[#This Row],[Lev Bet]])</f>
        <v/>
      </c>
      <c r="M135" s="45">
        <f>IF(Table13232[[#This Row],[Lev Ret]]="",Table13232[[#This Row],[Lev Bet]]*-1,L135-K135)</f>
        <v>-100</v>
      </c>
      <c r="N135" s="135">
        <v>100</v>
      </c>
      <c r="O135" s="135" t="str">
        <f>IF(Table13232[[#This Row],[Fin]]&lt;&gt;"1st","",Table13232[[#This Row],[Div]]*Table13232[[#This Row],[Nat and Combo Bet]])</f>
        <v/>
      </c>
      <c r="P135" s="135">
        <f>IF(Table13232[[#This Row],[Lev Ret]]="",Table13232[[#This Row],[Nat and Combo Bet]]*-1,O135-N135)</f>
        <v>-100</v>
      </c>
      <c r="Q135" s="50">
        <f t="shared" ref="Q135:Q198" si="6">IF(AND(A136=A135,F136=F135),2,1)</f>
        <v>1</v>
      </c>
      <c r="R135" s="50">
        <f>IF(AND(Q134=2,Q135=1),"",IF(Q135=2,(N135+N136)/2,IF(Table13232[[#This Row],[Dual Listing]]=1,Table13232[[#This Row],[Nat and Combo Bet]],11)))</f>
        <v>100</v>
      </c>
      <c r="S135" s="50" t="str">
        <f t="shared" ref="S135:S198" si="7">IF(R135="","",IF(O135="","",R135*H135))</f>
        <v/>
      </c>
      <c r="T135" s="50">
        <f t="shared" ref="T135:T198" si="8">IF(R135="","",IF(S135="",R135*-1,S135-R135))</f>
        <v>-100</v>
      </c>
      <c r="U135" s="50" t="str">
        <f>IF(Table13232[[#This Row],[Date]]&lt;$U$4,"","Live")</f>
        <v/>
      </c>
      <c r="V135" s="45" t="str">
        <f>TEXT(Table13232[[#This Row],[Date]],"DDD")</f>
        <v>Sat</v>
      </c>
      <c r="W135" s="45" t="str">
        <f>PROPER(TRIM(Table13232[[#This Row],[Horse]]))</f>
        <v>Arqana</v>
      </c>
    </row>
    <row r="136" spans="1:23" x14ac:dyDescent="0.25">
      <c r="A136" s="43">
        <v>45717</v>
      </c>
      <c r="B136" s="44">
        <v>0.73263888888888884</v>
      </c>
      <c r="C136" s="44" t="s">
        <v>10</v>
      </c>
      <c r="D136" s="45">
        <v>10</v>
      </c>
      <c r="E136" s="45">
        <v>8</v>
      </c>
      <c r="F136" s="46" t="s">
        <v>391</v>
      </c>
      <c r="G136" s="46" t="s">
        <v>21</v>
      </c>
      <c r="H136" s="47">
        <v>5.5</v>
      </c>
      <c r="I136" s="52" t="s">
        <v>297</v>
      </c>
      <c r="J136" s="45" t="str">
        <f>VLOOKUP(Table13232[[#This Row],[Track]],$C$836:$E$882,2,FALSE)</f>
        <v>Vic</v>
      </c>
      <c r="K136" s="49">
        <v>100</v>
      </c>
      <c r="L136" s="45">
        <f>IF(Table13232[[#This Row],[Fin]]&lt;&gt;"1st","",Table13232[[#This Row],[Div]]*Table13232[[#This Row],[Lev Bet]])</f>
        <v>550</v>
      </c>
      <c r="M136" s="45">
        <f>IF(Table13232[[#This Row],[Lev Ret]]="",Table13232[[#This Row],[Lev Bet]]*-1,L136-K136)</f>
        <v>450</v>
      </c>
      <c r="N136" s="135">
        <v>150</v>
      </c>
      <c r="O136" s="135">
        <f>IF(Table13232[[#This Row],[Fin]]&lt;&gt;"1st","",Table13232[[#This Row],[Div]]*Table13232[[#This Row],[Nat and Combo Bet]])</f>
        <v>825</v>
      </c>
      <c r="P136" s="135">
        <f>IF(Table13232[[#This Row],[Lev Ret]]="",Table13232[[#This Row],[Nat and Combo Bet]]*-1,O136-N136)</f>
        <v>675</v>
      </c>
      <c r="Q136" s="50">
        <f t="shared" si="6"/>
        <v>1</v>
      </c>
      <c r="R136" s="50">
        <f>IF(AND(Q135=2,Q136=1),"",IF(Q136=2,(N136+N137)/2,IF(Table13232[[#This Row],[Dual Listing]]=1,Table13232[[#This Row],[Nat and Combo Bet]],11)))</f>
        <v>150</v>
      </c>
      <c r="S136" s="50">
        <f t="shared" si="7"/>
        <v>825</v>
      </c>
      <c r="T136" s="50">
        <f t="shared" si="8"/>
        <v>675</v>
      </c>
      <c r="U136" s="50" t="str">
        <f>IF(Table13232[[#This Row],[Date]]&lt;$U$4,"","Live")</f>
        <v/>
      </c>
      <c r="V136" s="45" t="str">
        <f>TEXT(Table13232[[#This Row],[Date]],"DDD")</f>
        <v>Sat</v>
      </c>
      <c r="W136" s="45" t="str">
        <f>PROPER(TRIM(Table13232[[#This Row],[Horse]]))</f>
        <v>Verdad</v>
      </c>
    </row>
    <row r="137" spans="1:23" x14ac:dyDescent="0.25">
      <c r="A137" s="43">
        <v>45717</v>
      </c>
      <c r="B137" s="44">
        <v>0.74652777777777779</v>
      </c>
      <c r="C137" s="44" t="s">
        <v>13</v>
      </c>
      <c r="D137" s="45">
        <v>10</v>
      </c>
      <c r="E137" s="45">
        <v>14</v>
      </c>
      <c r="F137" s="46" t="s">
        <v>366</v>
      </c>
      <c r="G137" s="46" t="s">
        <v>21</v>
      </c>
      <c r="H137" s="47">
        <v>3.4</v>
      </c>
      <c r="I137" s="52" t="s">
        <v>297</v>
      </c>
      <c r="J137" s="45" t="str">
        <f>VLOOKUP(Table13232[[#This Row],[Track]],$C$836:$E$882,2,FALSE)</f>
        <v>NSW</v>
      </c>
      <c r="K137" s="49">
        <v>100</v>
      </c>
      <c r="L137" s="45">
        <f>IF(Table13232[[#This Row],[Fin]]&lt;&gt;"1st","",Table13232[[#This Row],[Div]]*Table13232[[#This Row],[Lev Bet]])</f>
        <v>340</v>
      </c>
      <c r="M137" s="45">
        <f>IF(Table13232[[#This Row],[Lev Ret]]="",Table13232[[#This Row],[Lev Bet]]*-1,L137-K137)</f>
        <v>240</v>
      </c>
      <c r="N137" s="135">
        <v>200</v>
      </c>
      <c r="O137" s="135">
        <f>IF(Table13232[[#This Row],[Fin]]&lt;&gt;"1st","",Table13232[[#This Row],[Div]]*Table13232[[#This Row],[Nat and Combo Bet]])</f>
        <v>680</v>
      </c>
      <c r="P137" s="135">
        <f>IF(Table13232[[#This Row],[Lev Ret]]="",Table13232[[#This Row],[Nat and Combo Bet]]*-1,O137-N137)</f>
        <v>480</v>
      </c>
      <c r="Q137" s="50">
        <f t="shared" si="6"/>
        <v>1</v>
      </c>
      <c r="R137" s="50">
        <f>IF(AND(Q136=2,Q137=1),"",IF(Q137=2,(N137+N138)/2,IF(Table13232[[#This Row],[Dual Listing]]=1,Table13232[[#This Row],[Nat and Combo Bet]],11)))</f>
        <v>200</v>
      </c>
      <c r="S137" s="50">
        <f t="shared" si="7"/>
        <v>680</v>
      </c>
      <c r="T137" s="50">
        <f t="shared" si="8"/>
        <v>480</v>
      </c>
      <c r="U137" s="50" t="str">
        <f>IF(Table13232[[#This Row],[Date]]&lt;$U$4,"","Live")</f>
        <v/>
      </c>
      <c r="V137" s="45" t="str">
        <f>TEXT(Table13232[[#This Row],[Date]],"DDD")</f>
        <v>Sat</v>
      </c>
      <c r="W137" s="45" t="str">
        <f>PROPER(TRIM(Table13232[[#This Row],[Horse]]))</f>
        <v>Kings Valley</v>
      </c>
    </row>
    <row r="138" spans="1:23" x14ac:dyDescent="0.25">
      <c r="A138" s="43">
        <v>45717</v>
      </c>
      <c r="B138" s="44">
        <v>0.75347222222222221</v>
      </c>
      <c r="C138" s="44" t="s">
        <v>12</v>
      </c>
      <c r="D138" s="45">
        <v>9</v>
      </c>
      <c r="E138" s="45">
        <v>11</v>
      </c>
      <c r="F138" s="46" t="s">
        <v>107</v>
      </c>
      <c r="G138" s="46" t="s">
        <v>21</v>
      </c>
      <c r="H138" s="47">
        <v>2.6</v>
      </c>
      <c r="I138" s="47" t="s">
        <v>298</v>
      </c>
      <c r="J138" s="45" t="str">
        <f>VLOOKUP(Table13232[[#This Row],[Track]],$C$836:$E$882,2,FALSE)</f>
        <v>Qld</v>
      </c>
      <c r="K138" s="49">
        <v>100</v>
      </c>
      <c r="L138" s="45">
        <f>IF(Table13232[[#This Row],[Fin]]&lt;&gt;"1st","",Table13232[[#This Row],[Div]]*Table13232[[#This Row],[Lev Bet]])</f>
        <v>260</v>
      </c>
      <c r="M138" s="45">
        <f>IF(Table13232[[#This Row],[Lev Ret]]="",Table13232[[#This Row],[Lev Bet]]*-1,L138-K138)</f>
        <v>160</v>
      </c>
      <c r="N138" s="135">
        <v>100</v>
      </c>
      <c r="O138" s="135">
        <f>IF(Table13232[[#This Row],[Fin]]&lt;&gt;"1st","",Table13232[[#This Row],[Div]]*Table13232[[#This Row],[Nat and Combo Bet]])</f>
        <v>260</v>
      </c>
      <c r="P138" s="135">
        <f>IF(Table13232[[#This Row],[Lev Ret]]="",Table13232[[#This Row],[Nat and Combo Bet]]*-1,O138-N138)</f>
        <v>160</v>
      </c>
      <c r="Q138" s="50">
        <f t="shared" si="6"/>
        <v>1</v>
      </c>
      <c r="R138" s="50">
        <f>IF(AND(Q137=2,Q138=1),"",IF(Q138=2,(N138+N139)/2,IF(Table13232[[#This Row],[Dual Listing]]=1,Table13232[[#This Row],[Nat and Combo Bet]],11)))</f>
        <v>100</v>
      </c>
      <c r="S138" s="50">
        <f t="shared" si="7"/>
        <v>260</v>
      </c>
      <c r="T138" s="50">
        <f t="shared" si="8"/>
        <v>160</v>
      </c>
      <c r="U138" s="50" t="str">
        <f>IF(Table13232[[#This Row],[Date]]&lt;$U$4,"","Live")</f>
        <v/>
      </c>
      <c r="V138" s="45" t="str">
        <f>TEXT(Table13232[[#This Row],[Date]],"DDD")</f>
        <v>Sat</v>
      </c>
      <c r="W138" s="45" t="str">
        <f>PROPER(TRIM(Table13232[[#This Row],[Horse]]))</f>
        <v>Termagant</v>
      </c>
    </row>
    <row r="139" spans="1:23" x14ac:dyDescent="0.25">
      <c r="A139" s="43">
        <v>45717</v>
      </c>
      <c r="B139" s="44">
        <v>0.77777777777777779</v>
      </c>
      <c r="C139" s="44" t="s">
        <v>12</v>
      </c>
      <c r="D139" s="45">
        <v>10</v>
      </c>
      <c r="E139" s="45">
        <v>4</v>
      </c>
      <c r="F139" s="46" t="s">
        <v>108</v>
      </c>
      <c r="G139" s="46"/>
      <c r="H139" s="47"/>
      <c r="I139" s="47" t="s">
        <v>298</v>
      </c>
      <c r="J139" s="45" t="str">
        <f>VLOOKUP(Table13232[[#This Row],[Track]],$C$836:$E$882,2,FALSE)</f>
        <v>Qld</v>
      </c>
      <c r="K139" s="49">
        <v>100</v>
      </c>
      <c r="L139" s="45" t="str">
        <f>IF(Table13232[[#This Row],[Fin]]&lt;&gt;"1st","",Table13232[[#This Row],[Div]]*Table13232[[#This Row],[Lev Bet]])</f>
        <v/>
      </c>
      <c r="M139" s="45">
        <f>IF(Table13232[[#This Row],[Lev Ret]]="",Table13232[[#This Row],[Lev Bet]]*-1,L139-K139)</f>
        <v>-100</v>
      </c>
      <c r="N139" s="135">
        <v>100</v>
      </c>
      <c r="O139" s="135" t="str">
        <f>IF(Table13232[[#This Row],[Fin]]&lt;&gt;"1st","",Table13232[[#This Row],[Div]]*Table13232[[#This Row],[Nat and Combo Bet]])</f>
        <v/>
      </c>
      <c r="P139" s="135">
        <f>IF(Table13232[[#This Row],[Lev Ret]]="",Table13232[[#This Row],[Nat and Combo Bet]]*-1,O139-N139)</f>
        <v>-100</v>
      </c>
      <c r="Q139" s="50">
        <f t="shared" si="6"/>
        <v>1</v>
      </c>
      <c r="R139" s="50">
        <f>IF(AND(Q138=2,Q139=1),"",IF(Q139=2,(N139+N140)/2,IF(Table13232[[#This Row],[Dual Listing]]=1,Table13232[[#This Row],[Nat and Combo Bet]],11)))</f>
        <v>100</v>
      </c>
      <c r="S139" s="50" t="str">
        <f t="shared" si="7"/>
        <v/>
      </c>
      <c r="T139" s="50">
        <f t="shared" si="8"/>
        <v>-100</v>
      </c>
      <c r="U139" s="50" t="str">
        <f>IF(Table13232[[#This Row],[Date]]&lt;$U$4,"","Live")</f>
        <v/>
      </c>
      <c r="V139" s="45" t="str">
        <f>TEXT(Table13232[[#This Row],[Date]],"DDD")</f>
        <v>Sat</v>
      </c>
      <c r="W139" s="45" t="str">
        <f>PROPER(TRIM(Table13232[[#This Row],[Horse]]))</f>
        <v>Cunnamulla Fella</v>
      </c>
    </row>
    <row r="140" spans="1:23" x14ac:dyDescent="0.25">
      <c r="A140" s="43">
        <v>45724</v>
      </c>
      <c r="B140" s="44">
        <v>0.50347222222222221</v>
      </c>
      <c r="C140" s="44" t="s">
        <v>10</v>
      </c>
      <c r="D140" s="45">
        <v>1</v>
      </c>
      <c r="E140" s="45">
        <v>3</v>
      </c>
      <c r="F140" s="46" t="s">
        <v>110</v>
      </c>
      <c r="G140" s="46"/>
      <c r="H140" s="47"/>
      <c r="I140" s="47" t="s">
        <v>298</v>
      </c>
      <c r="J140" s="45" t="str">
        <f>VLOOKUP(Table13232[[#This Row],[Track]],$C$836:$E$882,2,FALSE)</f>
        <v>Vic</v>
      </c>
      <c r="K140" s="49">
        <v>100</v>
      </c>
      <c r="L140" s="45" t="str">
        <f>IF(Table13232[[#This Row],[Fin]]&lt;&gt;"1st","",Table13232[[#This Row],[Div]]*Table13232[[#This Row],[Lev Bet]])</f>
        <v/>
      </c>
      <c r="M140" s="45">
        <f>IF(Table13232[[#This Row],[Lev Ret]]="",Table13232[[#This Row],[Lev Bet]]*-1,L140-K140)</f>
        <v>-100</v>
      </c>
      <c r="N140" s="135">
        <v>150</v>
      </c>
      <c r="O140" s="135" t="str">
        <f>IF(Table13232[[#This Row],[Fin]]&lt;&gt;"1st","",Table13232[[#This Row],[Div]]*Table13232[[#This Row],[Nat and Combo Bet]])</f>
        <v/>
      </c>
      <c r="P140" s="135">
        <f>IF(Table13232[[#This Row],[Lev Ret]]="",Table13232[[#This Row],[Nat and Combo Bet]]*-1,O140-N140)</f>
        <v>-150</v>
      </c>
      <c r="Q140" s="50">
        <f t="shared" si="6"/>
        <v>1</v>
      </c>
      <c r="R140" s="50">
        <f>IF(AND(Q139=2,Q140=1),"",IF(Q140=2,(N140+N141)/2,IF(Table13232[[#This Row],[Dual Listing]]=1,Table13232[[#This Row],[Nat and Combo Bet]],11)))</f>
        <v>150</v>
      </c>
      <c r="S140" s="50" t="str">
        <f t="shared" si="7"/>
        <v/>
      </c>
      <c r="T140" s="50">
        <f t="shared" si="8"/>
        <v>-150</v>
      </c>
      <c r="U140" s="50" t="str">
        <f>IF(Table13232[[#This Row],[Date]]&lt;$U$4,"","Live")</f>
        <v/>
      </c>
      <c r="V140" s="45" t="str">
        <f>TEXT(Table13232[[#This Row],[Date]],"DDD")</f>
        <v>Sat</v>
      </c>
      <c r="W140" s="45" t="str">
        <f>PROPER(TRIM(Table13232[[#This Row],[Horse]]))</f>
        <v>Interest Point</v>
      </c>
    </row>
    <row r="141" spans="1:23" x14ac:dyDescent="0.25">
      <c r="A141" s="43">
        <v>45724</v>
      </c>
      <c r="B141" s="44">
        <v>0.51388888888888884</v>
      </c>
      <c r="C141" s="44" t="s">
        <v>13</v>
      </c>
      <c r="D141" s="45">
        <v>1</v>
      </c>
      <c r="E141" s="45">
        <v>4</v>
      </c>
      <c r="F141" s="46" t="s">
        <v>385</v>
      </c>
      <c r="G141" s="46" t="s">
        <v>23</v>
      </c>
      <c r="H141" s="47"/>
      <c r="I141" s="52" t="s">
        <v>297</v>
      </c>
      <c r="J141" s="45" t="str">
        <f>VLOOKUP(Table13232[[#This Row],[Track]],$C$836:$E$882,2,FALSE)</f>
        <v>NSW</v>
      </c>
      <c r="K141" s="49">
        <v>100</v>
      </c>
      <c r="L141" s="45" t="str">
        <f>IF(Table13232[[#This Row],[Fin]]&lt;&gt;"1st","",Table13232[[#This Row],[Div]]*Table13232[[#This Row],[Lev Bet]])</f>
        <v/>
      </c>
      <c r="M141" s="45">
        <f>IF(Table13232[[#This Row],[Lev Ret]]="",Table13232[[#This Row],[Lev Bet]]*-1,L141-K141)</f>
        <v>-100</v>
      </c>
      <c r="N141" s="135">
        <v>100</v>
      </c>
      <c r="O141" s="135" t="str">
        <f>IF(Table13232[[#This Row],[Fin]]&lt;&gt;"1st","",Table13232[[#This Row],[Div]]*Table13232[[#This Row],[Nat and Combo Bet]])</f>
        <v/>
      </c>
      <c r="P141" s="135">
        <f>IF(Table13232[[#This Row],[Lev Ret]]="",Table13232[[#This Row],[Nat and Combo Bet]]*-1,O141-N141)</f>
        <v>-100</v>
      </c>
      <c r="Q141" s="50">
        <f t="shared" si="6"/>
        <v>1</v>
      </c>
      <c r="R141" s="50">
        <f>IF(AND(Q140=2,Q141=1),"",IF(Q141=2,(N141+N142)/2,IF(Table13232[[#This Row],[Dual Listing]]=1,Table13232[[#This Row],[Nat and Combo Bet]],11)))</f>
        <v>100</v>
      </c>
      <c r="S141" s="50" t="str">
        <f t="shared" si="7"/>
        <v/>
      </c>
      <c r="T141" s="50">
        <f t="shared" si="8"/>
        <v>-100</v>
      </c>
      <c r="U141" s="50" t="str">
        <f>IF(Table13232[[#This Row],[Date]]&lt;$U$4,"","Live")</f>
        <v/>
      </c>
      <c r="V141" s="45" t="str">
        <f>TEXT(Table13232[[#This Row],[Date]],"DDD")</f>
        <v>Sat</v>
      </c>
      <c r="W141" s="45" t="str">
        <f>PROPER(TRIM(Table13232[[#This Row],[Horse]]))</f>
        <v>Rush Attack</v>
      </c>
    </row>
    <row r="142" spans="1:23" x14ac:dyDescent="0.25">
      <c r="A142" s="43">
        <v>45724</v>
      </c>
      <c r="B142" s="44">
        <v>0.54861111111111116</v>
      </c>
      <c r="C142" s="44" t="s">
        <v>10</v>
      </c>
      <c r="D142" s="45">
        <v>3</v>
      </c>
      <c r="E142" s="45">
        <v>13</v>
      </c>
      <c r="F142" s="46" t="s">
        <v>112</v>
      </c>
      <c r="G142" s="46" t="s">
        <v>21</v>
      </c>
      <c r="H142" s="47">
        <v>4</v>
      </c>
      <c r="I142" s="47" t="s">
        <v>298</v>
      </c>
      <c r="J142" s="45" t="str">
        <f>VLOOKUP(Table13232[[#This Row],[Track]],$C$836:$E$882,2,FALSE)</f>
        <v>Vic</v>
      </c>
      <c r="K142" s="49">
        <v>100</v>
      </c>
      <c r="L142" s="45">
        <f>IF(Table13232[[#This Row],[Fin]]&lt;&gt;"1st","",Table13232[[#This Row],[Div]]*Table13232[[#This Row],[Lev Bet]])</f>
        <v>400</v>
      </c>
      <c r="M142" s="45">
        <f>IF(Table13232[[#This Row],[Lev Ret]]="",Table13232[[#This Row],[Lev Bet]]*-1,L142-K142)</f>
        <v>300</v>
      </c>
      <c r="N142" s="135">
        <v>100</v>
      </c>
      <c r="O142" s="135">
        <f>IF(Table13232[[#This Row],[Fin]]&lt;&gt;"1st","",Table13232[[#This Row],[Div]]*Table13232[[#This Row],[Nat and Combo Bet]])</f>
        <v>400</v>
      </c>
      <c r="P142" s="135">
        <f>IF(Table13232[[#This Row],[Lev Ret]]="",Table13232[[#This Row],[Nat and Combo Bet]]*-1,O142-N142)</f>
        <v>300</v>
      </c>
      <c r="Q142" s="50">
        <f t="shared" si="6"/>
        <v>1</v>
      </c>
      <c r="R142" s="50">
        <f>IF(AND(Q141=2,Q142=1),"",IF(Q142=2,(N142+N143)/2,IF(Table13232[[#This Row],[Dual Listing]]=1,Table13232[[#This Row],[Nat and Combo Bet]],11)))</f>
        <v>100</v>
      </c>
      <c r="S142" s="50">
        <f t="shared" si="7"/>
        <v>400</v>
      </c>
      <c r="T142" s="50">
        <f t="shared" si="8"/>
        <v>300</v>
      </c>
      <c r="U142" s="50" t="str">
        <f>IF(Table13232[[#This Row],[Date]]&lt;$U$4,"","Live")</f>
        <v/>
      </c>
      <c r="V142" s="45" t="str">
        <f>TEXT(Table13232[[#This Row],[Date]],"DDD")</f>
        <v>Sat</v>
      </c>
      <c r="W142" s="45" t="str">
        <f>PROPER(TRIM(Table13232[[#This Row],[Horse]]))</f>
        <v>Mytemptation</v>
      </c>
    </row>
    <row r="143" spans="1:23" x14ac:dyDescent="0.25">
      <c r="A143" s="43">
        <v>45724</v>
      </c>
      <c r="B143" s="44">
        <v>0.57291666666666663</v>
      </c>
      <c r="C143" s="44" t="s">
        <v>10</v>
      </c>
      <c r="D143" s="45">
        <v>4</v>
      </c>
      <c r="E143" s="45">
        <v>4</v>
      </c>
      <c r="F143" s="46" t="s">
        <v>367</v>
      </c>
      <c r="G143" s="46"/>
      <c r="H143" s="47"/>
      <c r="I143" s="52" t="s">
        <v>297</v>
      </c>
      <c r="J143" s="45" t="str">
        <f>VLOOKUP(Table13232[[#This Row],[Track]],$C$836:$E$882,2,FALSE)</f>
        <v>Vic</v>
      </c>
      <c r="K143" s="49">
        <v>100</v>
      </c>
      <c r="L143" s="45" t="str">
        <f>IF(Table13232[[#This Row],[Fin]]&lt;&gt;"1st","",Table13232[[#This Row],[Div]]*Table13232[[#This Row],[Lev Bet]])</f>
        <v/>
      </c>
      <c r="M143" s="45">
        <f>IF(Table13232[[#This Row],[Lev Ret]]="",Table13232[[#This Row],[Lev Bet]]*-1,L143-K143)</f>
        <v>-100</v>
      </c>
      <c r="N143" s="135">
        <v>50</v>
      </c>
      <c r="O143" s="135" t="str">
        <f>IF(Table13232[[#This Row],[Fin]]&lt;&gt;"1st","",Table13232[[#This Row],[Div]]*Table13232[[#This Row],[Nat and Combo Bet]])</f>
        <v/>
      </c>
      <c r="P143" s="135">
        <f>IF(Table13232[[#This Row],[Lev Ret]]="",Table13232[[#This Row],[Nat and Combo Bet]]*-1,O143-N143)</f>
        <v>-50</v>
      </c>
      <c r="Q143" s="50">
        <f t="shared" si="6"/>
        <v>1</v>
      </c>
      <c r="R143" s="50">
        <f>IF(AND(Q142=2,Q143=1),"",IF(Q143=2,(N143+N144)/2,IF(Table13232[[#This Row],[Dual Listing]]=1,Table13232[[#This Row],[Nat and Combo Bet]],11)))</f>
        <v>50</v>
      </c>
      <c r="S143" s="50" t="str">
        <f t="shared" si="7"/>
        <v/>
      </c>
      <c r="T143" s="50">
        <f t="shared" si="8"/>
        <v>-50</v>
      </c>
      <c r="U143" s="50" t="str">
        <f>IF(Table13232[[#This Row],[Date]]&lt;$U$4,"","Live")</f>
        <v/>
      </c>
      <c r="V143" s="45" t="str">
        <f>TEXT(Table13232[[#This Row],[Date]],"DDD")</f>
        <v>Sat</v>
      </c>
      <c r="W143" s="45" t="str">
        <f>PROPER(TRIM(Table13232[[#This Row],[Horse]]))</f>
        <v>Aztec Ruler</v>
      </c>
    </row>
    <row r="144" spans="1:23" x14ac:dyDescent="0.25">
      <c r="A144" s="43">
        <v>45724</v>
      </c>
      <c r="B144" s="44">
        <v>0.57291666666666663</v>
      </c>
      <c r="C144" s="44" t="s">
        <v>10</v>
      </c>
      <c r="D144" s="45">
        <v>4</v>
      </c>
      <c r="E144" s="45">
        <v>6</v>
      </c>
      <c r="F144" s="46" t="s">
        <v>378</v>
      </c>
      <c r="G144" s="46"/>
      <c r="H144" s="47"/>
      <c r="I144" s="52" t="s">
        <v>297</v>
      </c>
      <c r="J144" s="45" t="str">
        <f>VLOOKUP(Table13232[[#This Row],[Track]],$C$836:$E$882,2,FALSE)</f>
        <v>Vic</v>
      </c>
      <c r="K144" s="49">
        <v>100</v>
      </c>
      <c r="L144" s="45" t="str">
        <f>IF(Table13232[[#This Row],[Fin]]&lt;&gt;"1st","",Table13232[[#This Row],[Div]]*Table13232[[#This Row],[Lev Bet]])</f>
        <v/>
      </c>
      <c r="M144" s="45">
        <f>IF(Table13232[[#This Row],[Lev Ret]]="",Table13232[[#This Row],[Lev Bet]]*-1,L144-K144)</f>
        <v>-100</v>
      </c>
      <c r="N144" s="135">
        <v>150</v>
      </c>
      <c r="O144" s="135" t="str">
        <f>IF(Table13232[[#This Row],[Fin]]&lt;&gt;"1st","",Table13232[[#This Row],[Div]]*Table13232[[#This Row],[Nat and Combo Bet]])</f>
        <v/>
      </c>
      <c r="P144" s="135">
        <f>IF(Table13232[[#This Row],[Lev Ret]]="",Table13232[[#This Row],[Nat and Combo Bet]]*-1,O144-N144)</f>
        <v>-150</v>
      </c>
      <c r="Q144" s="50">
        <f t="shared" si="6"/>
        <v>1</v>
      </c>
      <c r="R144" s="50">
        <f>IF(AND(Q143=2,Q144=1),"",IF(Q144=2,(N144+N145)/2,IF(Table13232[[#This Row],[Dual Listing]]=1,Table13232[[#This Row],[Nat and Combo Bet]],11)))</f>
        <v>150</v>
      </c>
      <c r="S144" s="50" t="str">
        <f t="shared" si="7"/>
        <v/>
      </c>
      <c r="T144" s="50">
        <f t="shared" si="8"/>
        <v>-150</v>
      </c>
      <c r="U144" s="50" t="str">
        <f>IF(Table13232[[#This Row],[Date]]&lt;$U$4,"","Live")</f>
        <v/>
      </c>
      <c r="V144" s="45" t="str">
        <f>TEXT(Table13232[[#This Row],[Date]],"DDD")</f>
        <v>Sat</v>
      </c>
      <c r="W144" s="45" t="str">
        <f>PROPER(TRIM(Table13232[[#This Row],[Horse]]))</f>
        <v>Fancify</v>
      </c>
    </row>
    <row r="145" spans="1:23" x14ac:dyDescent="0.25">
      <c r="A145" s="43">
        <v>45724</v>
      </c>
      <c r="B145" s="44">
        <v>0.62152777777777779</v>
      </c>
      <c r="C145" s="44" t="s">
        <v>10</v>
      </c>
      <c r="D145" s="45">
        <v>6</v>
      </c>
      <c r="E145" s="45">
        <v>10</v>
      </c>
      <c r="F145" s="46" t="s">
        <v>39</v>
      </c>
      <c r="G145" s="46"/>
      <c r="H145" s="47"/>
      <c r="I145" s="52" t="s">
        <v>297</v>
      </c>
      <c r="J145" s="45" t="str">
        <f>VLOOKUP(Table13232[[#This Row],[Track]],$C$836:$E$882,2,FALSE)</f>
        <v>Vic</v>
      </c>
      <c r="K145" s="49">
        <v>100</v>
      </c>
      <c r="L145" s="45" t="str">
        <f>IF(Table13232[[#This Row],[Fin]]&lt;&gt;"1st","",Table13232[[#This Row],[Div]]*Table13232[[#This Row],[Lev Bet]])</f>
        <v/>
      </c>
      <c r="M145" s="45">
        <f>IF(Table13232[[#This Row],[Lev Ret]]="",Table13232[[#This Row],[Lev Bet]]*-1,L145-K145)</f>
        <v>-100</v>
      </c>
      <c r="N145" s="135">
        <v>50</v>
      </c>
      <c r="O145" s="135" t="str">
        <f>IF(Table13232[[#This Row],[Fin]]&lt;&gt;"1st","",Table13232[[#This Row],[Div]]*Table13232[[#This Row],[Nat and Combo Bet]])</f>
        <v/>
      </c>
      <c r="P145" s="135">
        <f>IF(Table13232[[#This Row],[Lev Ret]]="",Table13232[[#This Row],[Nat and Combo Bet]]*-1,O145-N145)</f>
        <v>-50</v>
      </c>
      <c r="Q145" s="50">
        <f t="shared" si="6"/>
        <v>1</v>
      </c>
      <c r="R145" s="50">
        <f>IF(AND(Q144=2,Q145=1),"",IF(Q145=2,(N145+N146)/2,IF(Table13232[[#This Row],[Dual Listing]]=1,Table13232[[#This Row],[Nat and Combo Bet]],11)))</f>
        <v>50</v>
      </c>
      <c r="S145" s="50" t="str">
        <f t="shared" si="7"/>
        <v/>
      </c>
      <c r="T145" s="50">
        <f t="shared" si="8"/>
        <v>-50</v>
      </c>
      <c r="U145" s="50" t="str">
        <f>IF(Table13232[[#This Row],[Date]]&lt;$U$4,"","Live")</f>
        <v/>
      </c>
      <c r="V145" s="45" t="str">
        <f>TEXT(Table13232[[#This Row],[Date]],"DDD")</f>
        <v>Sat</v>
      </c>
      <c r="W145" s="45" t="str">
        <f>PROPER(TRIM(Table13232[[#This Row],[Horse]]))</f>
        <v>Aramco</v>
      </c>
    </row>
    <row r="146" spans="1:23" x14ac:dyDescent="0.25">
      <c r="A146" s="43">
        <v>45724</v>
      </c>
      <c r="B146" s="44">
        <v>0.62152777777777779</v>
      </c>
      <c r="C146" s="44" t="s">
        <v>10</v>
      </c>
      <c r="D146" s="45">
        <v>6</v>
      </c>
      <c r="E146" s="45">
        <v>6</v>
      </c>
      <c r="F146" s="46" t="s">
        <v>392</v>
      </c>
      <c r="G146" s="46"/>
      <c r="H146" s="47"/>
      <c r="I146" s="52" t="s">
        <v>297</v>
      </c>
      <c r="J146" s="45" t="str">
        <f>VLOOKUP(Table13232[[#This Row],[Track]],$C$836:$E$882,2,FALSE)</f>
        <v>Vic</v>
      </c>
      <c r="K146" s="49">
        <v>100</v>
      </c>
      <c r="L146" s="45" t="str">
        <f>IF(Table13232[[#This Row],[Fin]]&lt;&gt;"1st","",Table13232[[#This Row],[Div]]*Table13232[[#This Row],[Lev Bet]])</f>
        <v/>
      </c>
      <c r="M146" s="45">
        <f>IF(Table13232[[#This Row],[Lev Ret]]="",Table13232[[#This Row],[Lev Bet]]*-1,L146-K146)</f>
        <v>-100</v>
      </c>
      <c r="N146" s="135">
        <v>50</v>
      </c>
      <c r="O146" s="135" t="str">
        <f>IF(Table13232[[#This Row],[Fin]]&lt;&gt;"1st","",Table13232[[#This Row],[Div]]*Table13232[[#This Row],[Nat and Combo Bet]])</f>
        <v/>
      </c>
      <c r="P146" s="135">
        <f>IF(Table13232[[#This Row],[Lev Ret]]="",Table13232[[#This Row],[Nat and Combo Bet]]*-1,O146-N146)</f>
        <v>-50</v>
      </c>
      <c r="Q146" s="50">
        <f t="shared" si="6"/>
        <v>1</v>
      </c>
      <c r="R146" s="50">
        <f>IF(AND(Q145=2,Q146=1),"",IF(Q146=2,(N146+N147)/2,IF(Table13232[[#This Row],[Dual Listing]]=1,Table13232[[#This Row],[Nat and Combo Bet]],11)))</f>
        <v>50</v>
      </c>
      <c r="S146" s="50" t="str">
        <f t="shared" si="7"/>
        <v/>
      </c>
      <c r="T146" s="50">
        <f t="shared" si="8"/>
        <v>-50</v>
      </c>
      <c r="U146" s="50" t="str">
        <f>IF(Table13232[[#This Row],[Date]]&lt;$U$4,"","Live")</f>
        <v/>
      </c>
      <c r="V146" s="45" t="str">
        <f>TEXT(Table13232[[#This Row],[Date]],"DDD")</f>
        <v>Sat</v>
      </c>
      <c r="W146" s="45" t="str">
        <f>PROPER(TRIM(Table13232[[#This Row],[Horse]]))</f>
        <v>Young Werther</v>
      </c>
    </row>
    <row r="147" spans="1:23" x14ac:dyDescent="0.25">
      <c r="A147" s="43">
        <v>45724</v>
      </c>
      <c r="B147" s="44">
        <v>0.64583333333333337</v>
      </c>
      <c r="C147" s="44" t="s">
        <v>10</v>
      </c>
      <c r="D147" s="45">
        <v>7</v>
      </c>
      <c r="E147" s="45">
        <v>1</v>
      </c>
      <c r="F147" s="46" t="s">
        <v>42</v>
      </c>
      <c r="G147" s="46" t="s">
        <v>23</v>
      </c>
      <c r="H147" s="47"/>
      <c r="I147" s="52" t="s">
        <v>297</v>
      </c>
      <c r="J147" s="45" t="str">
        <f>VLOOKUP(Table13232[[#This Row],[Track]],$C$836:$E$882,2,FALSE)</f>
        <v>Vic</v>
      </c>
      <c r="K147" s="49">
        <v>100</v>
      </c>
      <c r="L147" s="45" t="str">
        <f>IF(Table13232[[#This Row],[Fin]]&lt;&gt;"1st","",Table13232[[#This Row],[Div]]*Table13232[[#This Row],[Lev Bet]])</f>
        <v/>
      </c>
      <c r="M147" s="45">
        <f>IF(Table13232[[#This Row],[Lev Ret]]="",Table13232[[#This Row],[Lev Bet]]*-1,L147-K147)</f>
        <v>-100</v>
      </c>
      <c r="N147" s="135">
        <v>150</v>
      </c>
      <c r="O147" s="135" t="str">
        <f>IF(Table13232[[#This Row],[Fin]]&lt;&gt;"1st","",Table13232[[#This Row],[Div]]*Table13232[[#This Row],[Nat and Combo Bet]])</f>
        <v/>
      </c>
      <c r="P147" s="135">
        <f>IF(Table13232[[#This Row],[Lev Ret]]="",Table13232[[#This Row],[Nat and Combo Bet]]*-1,O147-N147)</f>
        <v>-150</v>
      </c>
      <c r="Q147" s="50">
        <f t="shared" si="6"/>
        <v>1</v>
      </c>
      <c r="R147" s="50">
        <f>IF(AND(Q146=2,Q147=1),"",IF(Q147=2,(N147+N148)/2,IF(Table13232[[#This Row],[Dual Listing]]=1,Table13232[[#This Row],[Nat and Combo Bet]],11)))</f>
        <v>150</v>
      </c>
      <c r="S147" s="50" t="str">
        <f t="shared" si="7"/>
        <v/>
      </c>
      <c r="T147" s="50">
        <f t="shared" si="8"/>
        <v>-150</v>
      </c>
      <c r="U147" s="50" t="str">
        <f>IF(Table13232[[#This Row],[Date]]&lt;$U$4,"","Live")</f>
        <v/>
      </c>
      <c r="V147" s="45" t="str">
        <f>TEXT(Table13232[[#This Row],[Date]],"DDD")</f>
        <v>Sat</v>
      </c>
      <c r="W147" s="45" t="str">
        <f>PROPER(TRIM(Table13232[[#This Row],[Horse]]))</f>
        <v>Mr Brightside</v>
      </c>
    </row>
    <row r="148" spans="1:23" x14ac:dyDescent="0.25">
      <c r="A148" s="43">
        <v>45724</v>
      </c>
      <c r="B148" s="44">
        <v>0.64583333333333337</v>
      </c>
      <c r="C148" s="44" t="s">
        <v>10</v>
      </c>
      <c r="D148" s="45">
        <v>7</v>
      </c>
      <c r="E148" s="45">
        <v>2</v>
      </c>
      <c r="F148" s="46" t="s">
        <v>393</v>
      </c>
      <c r="G148" s="46" t="s">
        <v>21</v>
      </c>
      <c r="H148" s="47">
        <v>5.5</v>
      </c>
      <c r="I148" s="52" t="s">
        <v>297</v>
      </c>
      <c r="J148" s="45" t="str">
        <f>VLOOKUP(Table13232[[#This Row],[Track]],$C$836:$E$882,2,FALSE)</f>
        <v>Vic</v>
      </c>
      <c r="K148" s="49">
        <v>100</v>
      </c>
      <c r="L148" s="45">
        <f>IF(Table13232[[#This Row],[Fin]]&lt;&gt;"1st","",Table13232[[#This Row],[Div]]*Table13232[[#This Row],[Lev Bet]])</f>
        <v>550</v>
      </c>
      <c r="M148" s="45">
        <f>IF(Table13232[[#This Row],[Lev Ret]]="",Table13232[[#This Row],[Lev Bet]]*-1,L148-K148)</f>
        <v>450</v>
      </c>
      <c r="N148" s="135">
        <v>100</v>
      </c>
      <c r="O148" s="135">
        <f>IF(Table13232[[#This Row],[Fin]]&lt;&gt;"1st","",Table13232[[#This Row],[Div]]*Table13232[[#This Row],[Nat and Combo Bet]])</f>
        <v>550</v>
      </c>
      <c r="P148" s="135">
        <f>IF(Table13232[[#This Row],[Lev Ret]]="",Table13232[[#This Row],[Nat and Combo Bet]]*-1,O148-N148)</f>
        <v>450</v>
      </c>
      <c r="Q148" s="50">
        <f t="shared" si="6"/>
        <v>1</v>
      </c>
      <c r="R148" s="50">
        <f>IF(AND(Q147=2,Q148=1),"",IF(Q148=2,(N148+N149)/2,IF(Table13232[[#This Row],[Dual Listing]]=1,Table13232[[#This Row],[Nat and Combo Bet]],11)))</f>
        <v>100</v>
      </c>
      <c r="S148" s="50">
        <f t="shared" si="7"/>
        <v>550</v>
      </c>
      <c r="T148" s="50">
        <f t="shared" si="8"/>
        <v>450</v>
      </c>
      <c r="U148" s="50" t="str">
        <f>IF(Table13232[[#This Row],[Date]]&lt;$U$4,"","Live")</f>
        <v/>
      </c>
      <c r="V148" s="45" t="str">
        <f>TEXT(Table13232[[#This Row],[Date]],"DDD")</f>
        <v>Sat</v>
      </c>
      <c r="W148" s="45" t="str">
        <f>PROPER(TRIM(Table13232[[#This Row],[Horse]]))</f>
        <v>Tom Kitten</v>
      </c>
    </row>
    <row r="149" spans="1:23" x14ac:dyDescent="0.25">
      <c r="A149" s="43">
        <v>45724</v>
      </c>
      <c r="B149" s="44">
        <v>0.67361111111111116</v>
      </c>
      <c r="C149" s="44" t="s">
        <v>10</v>
      </c>
      <c r="D149" s="45">
        <v>8</v>
      </c>
      <c r="E149" s="45">
        <v>1</v>
      </c>
      <c r="F149" s="46" t="s">
        <v>151</v>
      </c>
      <c r="G149" s="46" t="s">
        <v>21</v>
      </c>
      <c r="H149" s="47">
        <v>1.6</v>
      </c>
      <c r="I149" s="52" t="s">
        <v>297</v>
      </c>
      <c r="J149" s="45" t="str">
        <f>VLOOKUP(Table13232[[#This Row],[Track]],$C$836:$E$882,2,FALSE)</f>
        <v>Vic</v>
      </c>
      <c r="K149" s="49">
        <v>100</v>
      </c>
      <c r="L149" s="45">
        <f>IF(Table13232[[#This Row],[Fin]]&lt;&gt;"1st","",Table13232[[#This Row],[Div]]*Table13232[[#This Row],[Lev Bet]])</f>
        <v>160</v>
      </c>
      <c r="M149" s="45">
        <f>IF(Table13232[[#This Row],[Lev Ret]]="",Table13232[[#This Row],[Lev Bet]]*-1,L149-K149)</f>
        <v>60</v>
      </c>
      <c r="N149" s="135">
        <v>50</v>
      </c>
      <c r="O149" s="135">
        <f>IF(Table13232[[#This Row],[Fin]]&lt;&gt;"1st","",Table13232[[#This Row],[Div]]*Table13232[[#This Row],[Nat and Combo Bet]])</f>
        <v>80</v>
      </c>
      <c r="P149" s="135">
        <f>IF(Table13232[[#This Row],[Lev Ret]]="",Table13232[[#This Row],[Nat and Combo Bet]]*-1,O149-N149)</f>
        <v>30</v>
      </c>
      <c r="Q149" s="50">
        <f t="shared" si="6"/>
        <v>1</v>
      </c>
      <c r="R149" s="50">
        <f>IF(AND(Q148=2,Q149=1),"",IF(Q149=2,(N149+N150)/2,IF(Table13232[[#This Row],[Dual Listing]]=1,Table13232[[#This Row],[Nat and Combo Bet]],11)))</f>
        <v>50</v>
      </c>
      <c r="S149" s="50">
        <f t="shared" si="7"/>
        <v>80</v>
      </c>
      <c r="T149" s="50">
        <f t="shared" si="8"/>
        <v>30</v>
      </c>
      <c r="U149" s="50" t="str">
        <f>IF(Table13232[[#This Row],[Date]]&lt;$U$4,"","Live")</f>
        <v/>
      </c>
      <c r="V149" s="45" t="str">
        <f>TEXT(Table13232[[#This Row],[Date]],"DDD")</f>
        <v>Sat</v>
      </c>
      <c r="W149" s="45" t="str">
        <f>PROPER(TRIM(Table13232[[#This Row],[Horse]]))</f>
        <v>Treasurethe Moment</v>
      </c>
    </row>
    <row r="150" spans="1:23" x14ac:dyDescent="0.25">
      <c r="A150" s="43">
        <v>45724</v>
      </c>
      <c r="B150" s="44">
        <v>0.70138888888888884</v>
      </c>
      <c r="C150" s="44" t="s">
        <v>10</v>
      </c>
      <c r="D150" s="45">
        <v>9</v>
      </c>
      <c r="E150" s="45">
        <v>12</v>
      </c>
      <c r="F150" s="46" t="s">
        <v>113</v>
      </c>
      <c r="G150" s="46" t="s">
        <v>23</v>
      </c>
      <c r="H150" s="47"/>
      <c r="I150" s="47" t="s">
        <v>298</v>
      </c>
      <c r="J150" s="45" t="str">
        <f>VLOOKUP(Table13232[[#This Row],[Track]],$C$836:$E$882,2,FALSE)</f>
        <v>Vic</v>
      </c>
      <c r="K150" s="49">
        <v>100</v>
      </c>
      <c r="L150" s="45" t="str">
        <f>IF(Table13232[[#This Row],[Fin]]&lt;&gt;"1st","",Table13232[[#This Row],[Div]]*Table13232[[#This Row],[Lev Bet]])</f>
        <v/>
      </c>
      <c r="M150" s="45">
        <f>IF(Table13232[[#This Row],[Lev Ret]]="",Table13232[[#This Row],[Lev Bet]]*-1,L150-K150)</f>
        <v>-100</v>
      </c>
      <c r="N150" s="135">
        <v>100</v>
      </c>
      <c r="O150" s="135" t="str">
        <f>IF(Table13232[[#This Row],[Fin]]&lt;&gt;"1st","",Table13232[[#This Row],[Div]]*Table13232[[#This Row],[Nat and Combo Bet]])</f>
        <v/>
      </c>
      <c r="P150" s="135">
        <f>IF(Table13232[[#This Row],[Lev Ret]]="",Table13232[[#This Row],[Nat and Combo Bet]]*-1,O150-N150)</f>
        <v>-100</v>
      </c>
      <c r="Q150" s="50">
        <f t="shared" si="6"/>
        <v>1</v>
      </c>
      <c r="R150" s="50">
        <f>IF(AND(Q149=2,Q150=1),"",IF(Q150=2,(N150+N151)/2,IF(Table13232[[#This Row],[Dual Listing]]=1,Table13232[[#This Row],[Nat and Combo Bet]],11)))</f>
        <v>100</v>
      </c>
      <c r="S150" s="50" t="str">
        <f t="shared" si="7"/>
        <v/>
      </c>
      <c r="T150" s="50">
        <f t="shared" si="8"/>
        <v>-100</v>
      </c>
      <c r="U150" s="50" t="str">
        <f>IF(Table13232[[#This Row],[Date]]&lt;$U$4,"","Live")</f>
        <v/>
      </c>
      <c r="V150" s="45" t="str">
        <f>TEXT(Table13232[[#This Row],[Date]],"DDD")</f>
        <v>Sat</v>
      </c>
      <c r="W150" s="45" t="str">
        <f>PROPER(TRIM(Table13232[[#This Row],[Horse]]))</f>
        <v>Headwall</v>
      </c>
    </row>
    <row r="151" spans="1:23" x14ac:dyDescent="0.25">
      <c r="A151" s="43">
        <v>45724</v>
      </c>
      <c r="B151" s="44">
        <v>0.71527777777777779</v>
      </c>
      <c r="C151" s="44" t="s">
        <v>13</v>
      </c>
      <c r="D151" s="45">
        <v>9</v>
      </c>
      <c r="E151" s="45">
        <v>9</v>
      </c>
      <c r="F151" s="46" t="s">
        <v>394</v>
      </c>
      <c r="G151" s="46"/>
      <c r="H151" s="47"/>
      <c r="I151" s="52" t="s">
        <v>297</v>
      </c>
      <c r="J151" s="45" t="str">
        <f>VLOOKUP(Table13232[[#This Row],[Track]],$C$836:$E$882,2,FALSE)</f>
        <v>NSW</v>
      </c>
      <c r="K151" s="49">
        <v>100</v>
      </c>
      <c r="L151" s="45" t="str">
        <f>IF(Table13232[[#This Row],[Fin]]&lt;&gt;"1st","",Table13232[[#This Row],[Div]]*Table13232[[#This Row],[Lev Bet]])</f>
        <v/>
      </c>
      <c r="M151" s="45">
        <f>IF(Table13232[[#This Row],[Lev Ret]]="",Table13232[[#This Row],[Lev Bet]]*-1,L151-K151)</f>
        <v>-100</v>
      </c>
      <c r="N151" s="135">
        <v>200</v>
      </c>
      <c r="O151" s="135" t="str">
        <f>IF(Table13232[[#This Row],[Fin]]&lt;&gt;"1st","",Table13232[[#This Row],[Div]]*Table13232[[#This Row],[Nat and Combo Bet]])</f>
        <v/>
      </c>
      <c r="P151" s="135">
        <f>IF(Table13232[[#This Row],[Lev Ret]]="",Table13232[[#This Row],[Nat and Combo Bet]]*-1,O151-N151)</f>
        <v>-200</v>
      </c>
      <c r="Q151" s="50">
        <f t="shared" si="6"/>
        <v>1</v>
      </c>
      <c r="R151" s="50">
        <f>IF(AND(Q150=2,Q151=1),"",IF(Q151=2,(N151+N152)/2,IF(Table13232[[#This Row],[Dual Listing]]=1,Table13232[[#This Row],[Nat and Combo Bet]],11)))</f>
        <v>200</v>
      </c>
      <c r="S151" s="50" t="str">
        <f t="shared" si="7"/>
        <v/>
      </c>
      <c r="T151" s="50">
        <f t="shared" si="8"/>
        <v>-200</v>
      </c>
      <c r="U151" s="50" t="str">
        <f>IF(Table13232[[#This Row],[Date]]&lt;$U$4,"","Live")</f>
        <v/>
      </c>
      <c r="V151" s="45" t="str">
        <f>TEXT(Table13232[[#This Row],[Date]],"DDD")</f>
        <v>Sat</v>
      </c>
      <c r="W151" s="45" t="str">
        <f>PROPER(TRIM(Table13232[[#This Row],[Horse]]))</f>
        <v>Our Anchorage</v>
      </c>
    </row>
    <row r="152" spans="1:23" x14ac:dyDescent="0.25">
      <c r="A152" s="43">
        <v>45724</v>
      </c>
      <c r="B152" s="44">
        <v>0.72916666666666663</v>
      </c>
      <c r="C152" s="44" t="s">
        <v>10</v>
      </c>
      <c r="D152" s="45">
        <v>10</v>
      </c>
      <c r="E152" s="45">
        <v>7</v>
      </c>
      <c r="F152" s="46" t="s">
        <v>114</v>
      </c>
      <c r="G152" s="46"/>
      <c r="H152" s="47"/>
      <c r="I152" s="47" t="s">
        <v>298</v>
      </c>
      <c r="J152" s="45" t="str">
        <f>VLOOKUP(Table13232[[#This Row],[Track]],$C$836:$E$882,2,FALSE)</f>
        <v>Vic</v>
      </c>
      <c r="K152" s="49">
        <v>100</v>
      </c>
      <c r="L152" s="45" t="str">
        <f>IF(Table13232[[#This Row],[Fin]]&lt;&gt;"1st","",Table13232[[#This Row],[Div]]*Table13232[[#This Row],[Lev Bet]])</f>
        <v/>
      </c>
      <c r="M152" s="45">
        <f>IF(Table13232[[#This Row],[Lev Ret]]="",Table13232[[#This Row],[Lev Bet]]*-1,L152-K152)</f>
        <v>-100</v>
      </c>
      <c r="N152" s="135">
        <v>100</v>
      </c>
      <c r="O152" s="135" t="str">
        <f>IF(Table13232[[#This Row],[Fin]]&lt;&gt;"1st","",Table13232[[#This Row],[Div]]*Table13232[[#This Row],[Nat and Combo Bet]])</f>
        <v/>
      </c>
      <c r="P152" s="135">
        <f>IF(Table13232[[#This Row],[Lev Ret]]="",Table13232[[#This Row],[Nat and Combo Bet]]*-1,O152-N152)</f>
        <v>-100</v>
      </c>
      <c r="Q152" s="50">
        <f t="shared" si="6"/>
        <v>1</v>
      </c>
      <c r="R152" s="50">
        <f>IF(AND(Q151=2,Q152=1),"",IF(Q152=2,(N152+N153)/2,IF(Table13232[[#This Row],[Dual Listing]]=1,Table13232[[#This Row],[Nat and Combo Bet]],11)))</f>
        <v>100</v>
      </c>
      <c r="S152" s="50" t="str">
        <f t="shared" si="7"/>
        <v/>
      </c>
      <c r="T152" s="50">
        <f t="shared" si="8"/>
        <v>-100</v>
      </c>
      <c r="U152" s="50" t="str">
        <f>IF(Table13232[[#This Row],[Date]]&lt;$U$4,"","Live")</f>
        <v/>
      </c>
      <c r="V152" s="45" t="str">
        <f>TEXT(Table13232[[#This Row],[Date]],"DDD")</f>
        <v>Sat</v>
      </c>
      <c r="W152" s="45" t="str">
        <f>PROPER(TRIM(Table13232[[#This Row],[Horse]]))</f>
        <v>Smokin Princess</v>
      </c>
    </row>
    <row r="153" spans="1:23" x14ac:dyDescent="0.25">
      <c r="A153" s="43">
        <v>45731</v>
      </c>
      <c r="B153" s="44">
        <v>0.51041666666666663</v>
      </c>
      <c r="C153" s="44" t="s">
        <v>34</v>
      </c>
      <c r="D153" s="45">
        <v>1</v>
      </c>
      <c r="E153" s="45">
        <v>1</v>
      </c>
      <c r="F153" s="46" t="s">
        <v>186</v>
      </c>
      <c r="G153" s="46" t="s">
        <v>21</v>
      </c>
      <c r="H153" s="47">
        <v>4.4000000000000004</v>
      </c>
      <c r="I153" s="52" t="s">
        <v>297</v>
      </c>
      <c r="J153" s="45" t="str">
        <f>VLOOKUP(Table13232[[#This Row],[Track]],$C$836:$E$882,2,FALSE)</f>
        <v>Vic</v>
      </c>
      <c r="K153" s="49">
        <v>100</v>
      </c>
      <c r="L153" s="45">
        <f>IF(Table13232[[#This Row],[Fin]]&lt;&gt;"1st","",Table13232[[#This Row],[Div]]*Table13232[[#This Row],[Lev Bet]])</f>
        <v>440.00000000000006</v>
      </c>
      <c r="M153" s="45">
        <f>IF(Table13232[[#This Row],[Lev Ret]]="",Table13232[[#This Row],[Lev Bet]]*-1,L153-K153)</f>
        <v>340.00000000000006</v>
      </c>
      <c r="N153" s="135">
        <v>150</v>
      </c>
      <c r="O153" s="135">
        <f>IF(Table13232[[#This Row],[Fin]]&lt;&gt;"1st","",Table13232[[#This Row],[Div]]*Table13232[[#This Row],[Nat and Combo Bet]])</f>
        <v>660</v>
      </c>
      <c r="P153" s="135">
        <f>IF(Table13232[[#This Row],[Lev Ret]]="",Table13232[[#This Row],[Nat and Combo Bet]]*-1,O153-N153)</f>
        <v>510</v>
      </c>
      <c r="Q153" s="50">
        <f t="shared" si="6"/>
        <v>1</v>
      </c>
      <c r="R153" s="50">
        <f>IF(AND(Q152=2,Q153=1),"",IF(Q153=2,(N153+N154)/2,IF(Table13232[[#This Row],[Dual Listing]]=1,Table13232[[#This Row],[Nat and Combo Bet]],11)))</f>
        <v>150</v>
      </c>
      <c r="S153" s="50">
        <f t="shared" si="7"/>
        <v>660</v>
      </c>
      <c r="T153" s="50">
        <f t="shared" si="8"/>
        <v>510</v>
      </c>
      <c r="U153" s="50" t="str">
        <f>IF(Table13232[[#This Row],[Date]]&lt;$U$4,"","Live")</f>
        <v/>
      </c>
      <c r="V153" s="45" t="str">
        <f>TEXT(Table13232[[#This Row],[Date]],"DDD")</f>
        <v>Sat</v>
      </c>
      <c r="W153" s="45" t="str">
        <f>PROPER(TRIM(Table13232[[#This Row],[Horse]]))</f>
        <v>Bankers Choice</v>
      </c>
    </row>
    <row r="154" spans="1:23" x14ac:dyDescent="0.25">
      <c r="A154" s="43">
        <v>45731</v>
      </c>
      <c r="B154" s="44">
        <v>0.52638888888888891</v>
      </c>
      <c r="C154" s="44" t="s">
        <v>12</v>
      </c>
      <c r="D154" s="45">
        <v>3</v>
      </c>
      <c r="E154" s="45">
        <v>10</v>
      </c>
      <c r="F154" s="46" t="s">
        <v>116</v>
      </c>
      <c r="G154" s="46"/>
      <c r="H154" s="47"/>
      <c r="I154" s="47" t="s">
        <v>298</v>
      </c>
      <c r="J154" s="45" t="str">
        <f>VLOOKUP(Table13232[[#This Row],[Track]],$C$836:$E$882,2,FALSE)</f>
        <v>Qld</v>
      </c>
      <c r="K154" s="49">
        <v>100</v>
      </c>
      <c r="L154" s="45" t="str">
        <f>IF(Table13232[[#This Row],[Fin]]&lt;&gt;"1st","",Table13232[[#This Row],[Div]]*Table13232[[#This Row],[Lev Bet]])</f>
        <v/>
      </c>
      <c r="M154" s="45">
        <f>IF(Table13232[[#This Row],[Lev Ret]]="",Table13232[[#This Row],[Lev Bet]]*-1,L154-K154)</f>
        <v>-100</v>
      </c>
      <c r="N154" s="135">
        <v>100</v>
      </c>
      <c r="O154" s="135" t="str">
        <f>IF(Table13232[[#This Row],[Fin]]&lt;&gt;"1st","",Table13232[[#This Row],[Div]]*Table13232[[#This Row],[Nat and Combo Bet]])</f>
        <v/>
      </c>
      <c r="P154" s="135">
        <f>IF(Table13232[[#This Row],[Lev Ret]]="",Table13232[[#This Row],[Nat and Combo Bet]]*-1,O154-N154)</f>
        <v>-100</v>
      </c>
      <c r="Q154" s="50">
        <f t="shared" si="6"/>
        <v>1</v>
      </c>
      <c r="R154" s="50">
        <f>IF(AND(Q153=2,Q154=1),"",IF(Q154=2,(N154+N155)/2,IF(Table13232[[#This Row],[Dual Listing]]=1,Table13232[[#This Row],[Nat and Combo Bet]],11)))</f>
        <v>100</v>
      </c>
      <c r="S154" s="50" t="str">
        <f t="shared" si="7"/>
        <v/>
      </c>
      <c r="T154" s="50">
        <f t="shared" si="8"/>
        <v>-100</v>
      </c>
      <c r="U154" s="50" t="str">
        <f>IF(Table13232[[#This Row],[Date]]&lt;$U$4,"","Live")</f>
        <v/>
      </c>
      <c r="V154" s="45" t="str">
        <f>TEXT(Table13232[[#This Row],[Date]],"DDD")</f>
        <v>Sat</v>
      </c>
      <c r="W154" s="45" t="str">
        <f>PROPER(TRIM(Table13232[[#This Row],[Horse]]))</f>
        <v>Anemacore</v>
      </c>
    </row>
    <row r="155" spans="1:23" x14ac:dyDescent="0.25">
      <c r="A155" s="43">
        <v>45731</v>
      </c>
      <c r="B155" s="44">
        <v>0.53125</v>
      </c>
      <c r="C155" s="44" t="s">
        <v>34</v>
      </c>
      <c r="D155" s="45">
        <v>2</v>
      </c>
      <c r="E155" s="45">
        <v>2</v>
      </c>
      <c r="F155" s="46" t="s">
        <v>364</v>
      </c>
      <c r="G155" s="46"/>
      <c r="H155" s="47"/>
      <c r="I155" s="52" t="s">
        <v>297</v>
      </c>
      <c r="J155" s="45" t="str">
        <f>VLOOKUP(Table13232[[#This Row],[Track]],$C$836:$E$882,2,FALSE)</f>
        <v>Vic</v>
      </c>
      <c r="K155" s="49">
        <v>100</v>
      </c>
      <c r="L155" s="45" t="str">
        <f>IF(Table13232[[#This Row],[Fin]]&lt;&gt;"1st","",Table13232[[#This Row],[Div]]*Table13232[[#This Row],[Lev Bet]])</f>
        <v/>
      </c>
      <c r="M155" s="45">
        <f>IF(Table13232[[#This Row],[Lev Ret]]="",Table13232[[#This Row],[Lev Bet]]*-1,L155-K155)</f>
        <v>-100</v>
      </c>
      <c r="N155" s="135">
        <v>100</v>
      </c>
      <c r="O155" s="135" t="str">
        <f>IF(Table13232[[#This Row],[Fin]]&lt;&gt;"1st","",Table13232[[#This Row],[Div]]*Table13232[[#This Row],[Nat and Combo Bet]])</f>
        <v/>
      </c>
      <c r="P155" s="135">
        <f>IF(Table13232[[#This Row],[Lev Ret]]="",Table13232[[#This Row],[Nat and Combo Bet]]*-1,O155-N155)</f>
        <v>-100</v>
      </c>
      <c r="Q155" s="50">
        <f t="shared" si="6"/>
        <v>1</v>
      </c>
      <c r="R155" s="50">
        <f>IF(AND(Q154=2,Q155=1),"",IF(Q155=2,(N155+N156)/2,IF(Table13232[[#This Row],[Dual Listing]]=1,Table13232[[#This Row],[Nat and Combo Bet]],11)))</f>
        <v>100</v>
      </c>
      <c r="S155" s="50" t="str">
        <f t="shared" si="7"/>
        <v/>
      </c>
      <c r="T155" s="50">
        <f t="shared" si="8"/>
        <v>-100</v>
      </c>
      <c r="U155" s="50" t="str">
        <f>IF(Table13232[[#This Row],[Date]]&lt;$U$4,"","Live")</f>
        <v/>
      </c>
      <c r="V155" s="45" t="str">
        <f>TEXT(Table13232[[#This Row],[Date]],"DDD")</f>
        <v>Sat</v>
      </c>
      <c r="W155" s="45" t="str">
        <f>PROPER(TRIM(Table13232[[#This Row],[Horse]]))</f>
        <v>Brazen Lady</v>
      </c>
    </row>
    <row r="156" spans="1:23" x14ac:dyDescent="0.25">
      <c r="A156" s="43">
        <v>45731</v>
      </c>
      <c r="B156" s="44">
        <v>0.53125</v>
      </c>
      <c r="C156" s="44" t="s">
        <v>34</v>
      </c>
      <c r="D156" s="45">
        <v>2</v>
      </c>
      <c r="E156" s="45">
        <v>5</v>
      </c>
      <c r="F156" s="46" t="s">
        <v>117</v>
      </c>
      <c r="G156" s="46" t="s">
        <v>21</v>
      </c>
      <c r="H156" s="47">
        <v>6.5</v>
      </c>
      <c r="I156" s="47" t="s">
        <v>298</v>
      </c>
      <c r="J156" s="45" t="str">
        <f>VLOOKUP(Table13232[[#This Row],[Track]],$C$836:$E$882,2,FALSE)</f>
        <v>Vic</v>
      </c>
      <c r="K156" s="49">
        <v>100</v>
      </c>
      <c r="L156" s="45">
        <f>IF(Table13232[[#This Row],[Fin]]&lt;&gt;"1st","",Table13232[[#This Row],[Div]]*Table13232[[#This Row],[Lev Bet]])</f>
        <v>650</v>
      </c>
      <c r="M156" s="45">
        <f>IF(Table13232[[#This Row],[Lev Ret]]="",Table13232[[#This Row],[Lev Bet]]*-1,L156-K156)</f>
        <v>550</v>
      </c>
      <c r="N156" s="135">
        <v>200</v>
      </c>
      <c r="O156" s="135">
        <f>IF(Table13232[[#This Row],[Fin]]&lt;&gt;"1st","",Table13232[[#This Row],[Div]]*Table13232[[#This Row],[Nat and Combo Bet]])</f>
        <v>1300</v>
      </c>
      <c r="P156" s="135">
        <f>IF(Table13232[[#This Row],[Lev Ret]]="",Table13232[[#This Row],[Nat and Combo Bet]]*-1,O156-N156)</f>
        <v>1100</v>
      </c>
      <c r="Q156" s="50">
        <f t="shared" si="6"/>
        <v>1</v>
      </c>
      <c r="R156" s="50">
        <f>IF(AND(Q155=2,Q156=1),"",IF(Q156=2,(N156+N157)/2,IF(Table13232[[#This Row],[Dual Listing]]=1,Table13232[[#This Row],[Nat and Combo Bet]],11)))</f>
        <v>200</v>
      </c>
      <c r="S156" s="50">
        <f t="shared" si="7"/>
        <v>1300</v>
      </c>
      <c r="T156" s="50">
        <f t="shared" si="8"/>
        <v>1100</v>
      </c>
      <c r="U156" s="50" t="str">
        <f>IF(Table13232[[#This Row],[Date]]&lt;$U$4,"","Live")</f>
        <v/>
      </c>
      <c r="V156" s="45" t="str">
        <f>TEXT(Table13232[[#This Row],[Date]],"DDD")</f>
        <v>Sat</v>
      </c>
      <c r="W156" s="45" t="str">
        <f>PROPER(TRIM(Table13232[[#This Row],[Horse]]))</f>
        <v>Merrigold</v>
      </c>
    </row>
    <row r="157" spans="1:23" x14ac:dyDescent="0.25">
      <c r="A157" s="43">
        <v>45731</v>
      </c>
      <c r="B157" s="44">
        <v>0.53125</v>
      </c>
      <c r="C157" s="44" t="s">
        <v>34</v>
      </c>
      <c r="D157" s="45">
        <v>2</v>
      </c>
      <c r="E157" s="45">
        <v>1</v>
      </c>
      <c r="F157" s="46" t="s">
        <v>395</v>
      </c>
      <c r="G157" s="46" t="s">
        <v>22</v>
      </c>
      <c r="H157" s="47"/>
      <c r="I157" s="52" t="s">
        <v>297</v>
      </c>
      <c r="J157" s="45" t="str">
        <f>VLOOKUP(Table13232[[#This Row],[Track]],$C$836:$E$882,2,FALSE)</f>
        <v>Vic</v>
      </c>
      <c r="K157" s="49">
        <v>100</v>
      </c>
      <c r="L157" s="45" t="str">
        <f>IF(Table13232[[#This Row],[Fin]]&lt;&gt;"1st","",Table13232[[#This Row],[Div]]*Table13232[[#This Row],[Lev Bet]])</f>
        <v/>
      </c>
      <c r="M157" s="45">
        <f>IF(Table13232[[#This Row],[Lev Ret]]="",Table13232[[#This Row],[Lev Bet]]*-1,L157-K157)</f>
        <v>-100</v>
      </c>
      <c r="N157" s="135">
        <v>100</v>
      </c>
      <c r="O157" s="135" t="str">
        <f>IF(Table13232[[#This Row],[Fin]]&lt;&gt;"1st","",Table13232[[#This Row],[Div]]*Table13232[[#This Row],[Nat and Combo Bet]])</f>
        <v/>
      </c>
      <c r="P157" s="135">
        <f>IF(Table13232[[#This Row],[Lev Ret]]="",Table13232[[#This Row],[Nat and Combo Bet]]*-1,O157-N157)</f>
        <v>-100</v>
      </c>
      <c r="Q157" s="50">
        <f t="shared" si="6"/>
        <v>1</v>
      </c>
      <c r="R157" s="50">
        <f>IF(AND(Q156=2,Q157=1),"",IF(Q157=2,(N157+N158)/2,IF(Table13232[[#This Row],[Dual Listing]]=1,Table13232[[#This Row],[Nat and Combo Bet]],11)))</f>
        <v>100</v>
      </c>
      <c r="S157" s="50" t="str">
        <f t="shared" si="7"/>
        <v/>
      </c>
      <c r="T157" s="50">
        <f t="shared" si="8"/>
        <v>-100</v>
      </c>
      <c r="U157" s="50" t="str">
        <f>IF(Table13232[[#This Row],[Date]]&lt;$U$4,"","Live")</f>
        <v/>
      </c>
      <c r="V157" s="45" t="str">
        <f>TEXT(Table13232[[#This Row],[Date]],"DDD")</f>
        <v>Sat</v>
      </c>
      <c r="W157" s="45" t="str">
        <f>PROPER(TRIM(Table13232[[#This Row],[Horse]]))</f>
        <v>Regal Vow</v>
      </c>
    </row>
    <row r="158" spans="1:23" x14ac:dyDescent="0.25">
      <c r="A158" s="43">
        <v>45731</v>
      </c>
      <c r="B158" s="44">
        <v>0.55069444444444449</v>
      </c>
      <c r="C158" s="44" t="s">
        <v>12</v>
      </c>
      <c r="D158" s="45">
        <v>4</v>
      </c>
      <c r="E158" s="45">
        <v>1</v>
      </c>
      <c r="F158" s="46" t="s">
        <v>118</v>
      </c>
      <c r="G158" s="46" t="s">
        <v>21</v>
      </c>
      <c r="H158" s="47">
        <v>5</v>
      </c>
      <c r="I158" s="47" t="s">
        <v>298</v>
      </c>
      <c r="J158" s="45" t="str">
        <f>VLOOKUP(Table13232[[#This Row],[Track]],$C$836:$E$882,2,FALSE)</f>
        <v>Qld</v>
      </c>
      <c r="K158" s="49">
        <v>100</v>
      </c>
      <c r="L158" s="45">
        <f>IF(Table13232[[#This Row],[Fin]]&lt;&gt;"1st","",Table13232[[#This Row],[Div]]*Table13232[[#This Row],[Lev Bet]])</f>
        <v>500</v>
      </c>
      <c r="M158" s="45">
        <f>IF(Table13232[[#This Row],[Lev Ret]]="",Table13232[[#This Row],[Lev Bet]]*-1,L158-K158)</f>
        <v>400</v>
      </c>
      <c r="N158" s="135">
        <v>100</v>
      </c>
      <c r="O158" s="135">
        <f>IF(Table13232[[#This Row],[Fin]]&lt;&gt;"1st","",Table13232[[#This Row],[Div]]*Table13232[[#This Row],[Nat and Combo Bet]])</f>
        <v>500</v>
      </c>
      <c r="P158" s="135">
        <f>IF(Table13232[[#This Row],[Lev Ret]]="",Table13232[[#This Row],[Nat and Combo Bet]]*-1,O158-N158)</f>
        <v>400</v>
      </c>
      <c r="Q158" s="50">
        <f t="shared" si="6"/>
        <v>1</v>
      </c>
      <c r="R158" s="50">
        <f>IF(AND(Q157=2,Q158=1),"",IF(Q158=2,(N158+N159)/2,IF(Table13232[[#This Row],[Dual Listing]]=1,Table13232[[#This Row],[Nat and Combo Bet]],11)))</f>
        <v>100</v>
      </c>
      <c r="S158" s="50">
        <f t="shared" si="7"/>
        <v>500</v>
      </c>
      <c r="T158" s="50">
        <f t="shared" si="8"/>
        <v>400</v>
      </c>
      <c r="U158" s="50" t="str">
        <f>IF(Table13232[[#This Row],[Date]]&lt;$U$4,"","Live")</f>
        <v/>
      </c>
      <c r="V158" s="45" t="str">
        <f>TEXT(Table13232[[#This Row],[Date]],"DDD")</f>
        <v>Sat</v>
      </c>
      <c r="W158" s="45" t="str">
        <f>PROPER(TRIM(Table13232[[#This Row],[Horse]]))</f>
        <v>Space Tracker</v>
      </c>
    </row>
    <row r="159" spans="1:23" x14ac:dyDescent="0.25">
      <c r="A159" s="43">
        <v>45731</v>
      </c>
      <c r="B159" s="44">
        <v>0.55555555555555558</v>
      </c>
      <c r="C159" s="44" t="s">
        <v>34</v>
      </c>
      <c r="D159" s="45">
        <v>3</v>
      </c>
      <c r="E159" s="45">
        <v>2</v>
      </c>
      <c r="F159" s="46" t="s">
        <v>396</v>
      </c>
      <c r="G159" s="46"/>
      <c r="H159" s="47"/>
      <c r="I159" s="52" t="s">
        <v>297</v>
      </c>
      <c r="J159" s="45" t="str">
        <f>VLOOKUP(Table13232[[#This Row],[Track]],$C$836:$E$882,2,FALSE)</f>
        <v>Vic</v>
      </c>
      <c r="K159" s="49">
        <v>100</v>
      </c>
      <c r="L159" s="45" t="str">
        <f>IF(Table13232[[#This Row],[Fin]]&lt;&gt;"1st","",Table13232[[#This Row],[Div]]*Table13232[[#This Row],[Lev Bet]])</f>
        <v/>
      </c>
      <c r="M159" s="45">
        <f>IF(Table13232[[#This Row],[Lev Ret]]="",Table13232[[#This Row],[Lev Bet]]*-1,L159-K159)</f>
        <v>-100</v>
      </c>
      <c r="N159" s="135">
        <v>160</v>
      </c>
      <c r="O159" s="135" t="str">
        <f>IF(Table13232[[#This Row],[Fin]]&lt;&gt;"1st","",Table13232[[#This Row],[Div]]*Table13232[[#This Row],[Nat and Combo Bet]])</f>
        <v/>
      </c>
      <c r="P159" s="135">
        <f>IF(Table13232[[#This Row],[Lev Ret]]="",Table13232[[#This Row],[Nat and Combo Bet]]*-1,O159-N159)</f>
        <v>-160</v>
      </c>
      <c r="Q159" s="50">
        <f t="shared" si="6"/>
        <v>1</v>
      </c>
      <c r="R159" s="50">
        <f>IF(AND(Q158=2,Q159=1),"",IF(Q159=2,(N159+N160)/2,IF(Table13232[[#This Row],[Dual Listing]]=1,Table13232[[#This Row],[Nat and Combo Bet]],11)))</f>
        <v>160</v>
      </c>
      <c r="S159" s="50" t="str">
        <f t="shared" si="7"/>
        <v/>
      </c>
      <c r="T159" s="50">
        <f t="shared" si="8"/>
        <v>-160</v>
      </c>
      <c r="U159" s="50" t="str">
        <f>IF(Table13232[[#This Row],[Date]]&lt;$U$4,"","Live")</f>
        <v/>
      </c>
      <c r="V159" s="45" t="str">
        <f>TEXT(Table13232[[#This Row],[Date]],"DDD")</f>
        <v>Sat</v>
      </c>
      <c r="W159" s="45" t="str">
        <f>PROPER(TRIM(Table13232[[#This Row],[Horse]]))</f>
        <v>Miss Aria</v>
      </c>
    </row>
    <row r="160" spans="1:23" x14ac:dyDescent="0.25">
      <c r="A160" s="109">
        <v>45731</v>
      </c>
      <c r="B160" s="53">
        <v>0.55555555555555558</v>
      </c>
      <c r="C160" s="110" t="s">
        <v>34</v>
      </c>
      <c r="D160" s="111">
        <v>3</v>
      </c>
      <c r="E160" s="111">
        <v>5</v>
      </c>
      <c r="F160" s="112" t="s">
        <v>87</v>
      </c>
      <c r="G160" s="112" t="s">
        <v>21</v>
      </c>
      <c r="H160" s="113">
        <v>3</v>
      </c>
      <c r="I160" s="114" t="s">
        <v>297</v>
      </c>
      <c r="J160" s="45" t="str">
        <f>VLOOKUP(Table13232[[#This Row],[Track]],$C$836:$E$882,2,FALSE)</f>
        <v>Vic</v>
      </c>
      <c r="K160" s="55">
        <v>100</v>
      </c>
      <c r="L160" s="54">
        <f>IF(Table13232[[#This Row],[Fin]]&lt;&gt;"1st","",Table13232[[#This Row],[Div]]*Table13232[[#This Row],[Lev Bet]])</f>
        <v>300</v>
      </c>
      <c r="M160" s="54">
        <f>IF(Table13232[[#This Row],[Lev Ret]]="",Table13232[[#This Row],[Lev Bet]]*-1,L160-K160)</f>
        <v>200</v>
      </c>
      <c r="N160" s="135">
        <v>150</v>
      </c>
      <c r="O160" s="135">
        <f>IF(Table13232[[#This Row],[Fin]]&lt;&gt;"1st","",Table13232[[#This Row],[Div]]*Table13232[[#This Row],[Nat and Combo Bet]])</f>
        <v>450</v>
      </c>
      <c r="P160" s="135">
        <f>IF(Table13232[[#This Row],[Lev Ret]]="",Table13232[[#This Row],[Nat and Combo Bet]]*-1,O160-N160)</f>
        <v>300</v>
      </c>
      <c r="Q160" s="50">
        <f t="shared" si="6"/>
        <v>2</v>
      </c>
      <c r="R160" s="50">
        <f>IF(AND(Q159=2,Q160=1),"",IF(Q160=2,(N160+N161)/2,IF(Table13232[[#This Row],[Dual Listing]]=1,Table13232[[#This Row],[Nat and Combo Bet]],11)))</f>
        <v>175</v>
      </c>
      <c r="S160" s="50">
        <f t="shared" si="7"/>
        <v>525</v>
      </c>
      <c r="T160" s="50">
        <f t="shared" si="8"/>
        <v>350</v>
      </c>
      <c r="U160" s="50" t="str">
        <f>IF(Table13232[[#This Row],[Date]]&lt;$U$4,"","Live")</f>
        <v/>
      </c>
      <c r="V160" s="45" t="str">
        <f>TEXT(Table13232[[#This Row],[Date]],"DDD")</f>
        <v>Sat</v>
      </c>
      <c r="W160" s="45" t="str">
        <f>PROPER(TRIM(Table13232[[#This Row],[Horse]]))</f>
        <v>Samangu</v>
      </c>
    </row>
    <row r="161" spans="1:23" x14ac:dyDescent="0.25">
      <c r="A161" s="109">
        <v>45731</v>
      </c>
      <c r="B161" s="53">
        <v>0.55555555555555558</v>
      </c>
      <c r="C161" s="110" t="s">
        <v>34</v>
      </c>
      <c r="D161" s="111">
        <v>3</v>
      </c>
      <c r="E161" s="111">
        <v>5</v>
      </c>
      <c r="F161" s="112" t="s">
        <v>87</v>
      </c>
      <c r="G161" s="112" t="s">
        <v>21</v>
      </c>
      <c r="H161" s="113">
        <v>3.3</v>
      </c>
      <c r="I161" s="113" t="s">
        <v>298</v>
      </c>
      <c r="J161" s="45" t="str">
        <f>VLOOKUP(Table13232[[#This Row],[Track]],$C$836:$E$882,2,FALSE)</f>
        <v>Vic</v>
      </c>
      <c r="K161" s="55">
        <v>100</v>
      </c>
      <c r="L161" s="54">
        <f>IF(Table13232[[#This Row],[Fin]]&lt;&gt;"1st","",Table13232[[#This Row],[Div]]*Table13232[[#This Row],[Lev Bet]])</f>
        <v>330</v>
      </c>
      <c r="M161" s="54">
        <f>IF(Table13232[[#This Row],[Lev Ret]]="",Table13232[[#This Row],[Lev Bet]]*-1,L161-K161)</f>
        <v>230</v>
      </c>
      <c r="N161" s="135">
        <v>200</v>
      </c>
      <c r="O161" s="135">
        <f>IF(Table13232[[#This Row],[Fin]]&lt;&gt;"1st","",Table13232[[#This Row],[Div]]*Table13232[[#This Row],[Nat and Combo Bet]])</f>
        <v>660</v>
      </c>
      <c r="P161" s="135">
        <f>IF(Table13232[[#This Row],[Lev Ret]]="",Table13232[[#This Row],[Nat and Combo Bet]]*-1,O161-N161)</f>
        <v>460</v>
      </c>
      <c r="Q161" s="50">
        <f t="shared" si="6"/>
        <v>1</v>
      </c>
      <c r="R161" s="50" t="str">
        <f>IF(AND(Q160=2,Q161=1),"",IF(Q161=2,(N161+N162)/2,IF(Table13232[[#This Row],[Dual Listing]]=1,Table13232[[#This Row],[Nat and Combo Bet]],11)))</f>
        <v/>
      </c>
      <c r="S161" s="50" t="str">
        <f t="shared" si="7"/>
        <v/>
      </c>
      <c r="T161" s="50" t="str">
        <f t="shared" si="8"/>
        <v/>
      </c>
      <c r="U161" s="50" t="str">
        <f>IF(Table13232[[#This Row],[Date]]&lt;$U$4,"","Live")</f>
        <v/>
      </c>
      <c r="V161" s="45" t="str">
        <f>TEXT(Table13232[[#This Row],[Date]],"DDD")</f>
        <v>Sat</v>
      </c>
      <c r="W161" s="45" t="str">
        <f>PROPER(TRIM(Table13232[[#This Row],[Horse]]))</f>
        <v>Samangu</v>
      </c>
    </row>
    <row r="162" spans="1:23" x14ac:dyDescent="0.25">
      <c r="A162" s="43">
        <v>45731</v>
      </c>
      <c r="B162" s="44">
        <v>0.57499999999999996</v>
      </c>
      <c r="C162" s="44" t="s">
        <v>12</v>
      </c>
      <c r="D162" s="45">
        <v>5</v>
      </c>
      <c r="E162" s="45">
        <v>13</v>
      </c>
      <c r="F162" s="46" t="s">
        <v>119</v>
      </c>
      <c r="G162" s="46"/>
      <c r="H162" s="47"/>
      <c r="I162" s="47" t="s">
        <v>298</v>
      </c>
      <c r="J162" s="45" t="str">
        <f>VLOOKUP(Table13232[[#This Row],[Track]],$C$836:$E$882,2,FALSE)</f>
        <v>Qld</v>
      </c>
      <c r="K162" s="49">
        <v>100</v>
      </c>
      <c r="L162" s="45" t="str">
        <f>IF(Table13232[[#This Row],[Fin]]&lt;&gt;"1st","",Table13232[[#This Row],[Div]]*Table13232[[#This Row],[Lev Bet]])</f>
        <v/>
      </c>
      <c r="M162" s="45">
        <f>IF(Table13232[[#This Row],[Lev Ret]]="",Table13232[[#This Row],[Lev Bet]]*-1,L162-K162)</f>
        <v>-100</v>
      </c>
      <c r="N162" s="135">
        <v>100</v>
      </c>
      <c r="O162" s="135" t="str">
        <f>IF(Table13232[[#This Row],[Fin]]&lt;&gt;"1st","",Table13232[[#This Row],[Div]]*Table13232[[#This Row],[Nat and Combo Bet]])</f>
        <v/>
      </c>
      <c r="P162" s="135">
        <f>IF(Table13232[[#This Row],[Lev Ret]]="",Table13232[[#This Row],[Nat and Combo Bet]]*-1,O162-N162)</f>
        <v>-100</v>
      </c>
      <c r="Q162" s="50">
        <f t="shared" si="6"/>
        <v>1</v>
      </c>
      <c r="R162" s="50">
        <f>IF(AND(Q161=2,Q162=1),"",IF(Q162=2,(N162+N163)/2,IF(Table13232[[#This Row],[Dual Listing]]=1,Table13232[[#This Row],[Nat and Combo Bet]],11)))</f>
        <v>100</v>
      </c>
      <c r="S162" s="50" t="str">
        <f t="shared" si="7"/>
        <v/>
      </c>
      <c r="T162" s="50">
        <f t="shared" si="8"/>
        <v>-100</v>
      </c>
      <c r="U162" s="50" t="str">
        <f>IF(Table13232[[#This Row],[Date]]&lt;$U$4,"","Live")</f>
        <v/>
      </c>
      <c r="V162" s="45" t="str">
        <f>TEXT(Table13232[[#This Row],[Date]],"DDD")</f>
        <v>Sat</v>
      </c>
      <c r="W162" s="45" t="str">
        <f>PROPER(TRIM(Table13232[[#This Row],[Horse]]))</f>
        <v>Mintaka Lad</v>
      </c>
    </row>
    <row r="163" spans="1:23" x14ac:dyDescent="0.25">
      <c r="A163" s="43">
        <v>45731</v>
      </c>
      <c r="B163" s="44">
        <v>0.59930555555555554</v>
      </c>
      <c r="C163" s="44" t="s">
        <v>12</v>
      </c>
      <c r="D163" s="45">
        <v>6</v>
      </c>
      <c r="E163" s="45">
        <v>5</v>
      </c>
      <c r="F163" s="46" t="s">
        <v>105</v>
      </c>
      <c r="G163" s="46" t="s">
        <v>23</v>
      </c>
      <c r="H163" s="47"/>
      <c r="I163" s="47" t="s">
        <v>298</v>
      </c>
      <c r="J163" s="45" t="str">
        <f>VLOOKUP(Table13232[[#This Row],[Track]],$C$836:$E$882,2,FALSE)</f>
        <v>Qld</v>
      </c>
      <c r="K163" s="49">
        <v>100</v>
      </c>
      <c r="L163" s="45" t="str">
        <f>IF(Table13232[[#This Row],[Fin]]&lt;&gt;"1st","",Table13232[[#This Row],[Div]]*Table13232[[#This Row],[Lev Bet]])</f>
        <v/>
      </c>
      <c r="M163" s="45">
        <f>IF(Table13232[[#This Row],[Lev Ret]]="",Table13232[[#This Row],[Lev Bet]]*-1,L163-K163)</f>
        <v>-100</v>
      </c>
      <c r="N163" s="135">
        <v>100</v>
      </c>
      <c r="O163" s="135" t="str">
        <f>IF(Table13232[[#This Row],[Fin]]&lt;&gt;"1st","",Table13232[[#This Row],[Div]]*Table13232[[#This Row],[Nat and Combo Bet]])</f>
        <v/>
      </c>
      <c r="P163" s="135">
        <f>IF(Table13232[[#This Row],[Lev Ret]]="",Table13232[[#This Row],[Nat and Combo Bet]]*-1,O163-N163)</f>
        <v>-100</v>
      </c>
      <c r="Q163" s="50">
        <f t="shared" si="6"/>
        <v>1</v>
      </c>
      <c r="R163" s="50">
        <f>IF(AND(Q162=2,Q163=1),"",IF(Q163=2,(N163+N164)/2,IF(Table13232[[#This Row],[Dual Listing]]=1,Table13232[[#This Row],[Nat and Combo Bet]],11)))</f>
        <v>100</v>
      </c>
      <c r="S163" s="50" t="str">
        <f t="shared" si="7"/>
        <v/>
      </c>
      <c r="T163" s="50">
        <f t="shared" si="8"/>
        <v>-100</v>
      </c>
      <c r="U163" s="50" t="str">
        <f>IF(Table13232[[#This Row],[Date]]&lt;$U$4,"","Live")</f>
        <v/>
      </c>
      <c r="V163" s="45" t="str">
        <f>TEXT(Table13232[[#This Row],[Date]],"DDD")</f>
        <v>Sat</v>
      </c>
      <c r="W163" s="45" t="str">
        <f>PROPER(TRIM(Table13232[[#This Row],[Horse]]))</f>
        <v>Wanda Rox</v>
      </c>
    </row>
    <row r="164" spans="1:23" x14ac:dyDescent="0.25">
      <c r="A164" s="43">
        <v>45731</v>
      </c>
      <c r="B164" s="44">
        <v>0.60416666666666663</v>
      </c>
      <c r="C164" s="44" t="s">
        <v>34</v>
      </c>
      <c r="D164" s="45">
        <v>5</v>
      </c>
      <c r="E164" s="45">
        <v>8</v>
      </c>
      <c r="F164" s="46" t="s">
        <v>120</v>
      </c>
      <c r="G164" s="46" t="s">
        <v>21</v>
      </c>
      <c r="H164" s="47">
        <v>6.5</v>
      </c>
      <c r="I164" s="47" t="s">
        <v>298</v>
      </c>
      <c r="J164" s="45" t="str">
        <f>VLOOKUP(Table13232[[#This Row],[Track]],$C$836:$E$882,2,FALSE)</f>
        <v>Vic</v>
      </c>
      <c r="K164" s="49">
        <v>100</v>
      </c>
      <c r="L164" s="45">
        <f>IF(Table13232[[#This Row],[Fin]]&lt;&gt;"1st","",Table13232[[#This Row],[Div]]*Table13232[[#This Row],[Lev Bet]])</f>
        <v>650</v>
      </c>
      <c r="M164" s="45">
        <f>IF(Table13232[[#This Row],[Lev Ret]]="",Table13232[[#This Row],[Lev Bet]]*-1,L164-K164)</f>
        <v>550</v>
      </c>
      <c r="N164" s="135">
        <v>100</v>
      </c>
      <c r="O164" s="135">
        <f>IF(Table13232[[#This Row],[Fin]]&lt;&gt;"1st","",Table13232[[#This Row],[Div]]*Table13232[[#This Row],[Nat and Combo Bet]])</f>
        <v>650</v>
      </c>
      <c r="P164" s="135">
        <f>IF(Table13232[[#This Row],[Lev Ret]]="",Table13232[[#This Row],[Nat and Combo Bet]]*-1,O164-N164)</f>
        <v>550</v>
      </c>
      <c r="Q164" s="50">
        <f t="shared" si="6"/>
        <v>1</v>
      </c>
      <c r="R164" s="50">
        <f>IF(AND(Q163=2,Q164=1),"",IF(Q164=2,(N164+N165)/2,IF(Table13232[[#This Row],[Dual Listing]]=1,Table13232[[#This Row],[Nat and Combo Bet]],11)))</f>
        <v>100</v>
      </c>
      <c r="S164" s="50">
        <f t="shared" si="7"/>
        <v>650</v>
      </c>
      <c r="T164" s="50">
        <f t="shared" si="8"/>
        <v>550</v>
      </c>
      <c r="U164" s="50" t="str">
        <f>IF(Table13232[[#This Row],[Date]]&lt;$U$4,"","Live")</f>
        <v/>
      </c>
      <c r="V164" s="45" t="str">
        <f>TEXT(Table13232[[#This Row],[Date]],"DDD")</f>
        <v>Sat</v>
      </c>
      <c r="W164" s="45" t="str">
        <f>PROPER(TRIM(Table13232[[#This Row],[Horse]]))</f>
        <v>Benagil</v>
      </c>
    </row>
    <row r="165" spans="1:23" x14ac:dyDescent="0.25">
      <c r="A165" s="43">
        <v>45731</v>
      </c>
      <c r="B165" s="44">
        <v>0.61805555555555558</v>
      </c>
      <c r="C165" s="44" t="s">
        <v>11</v>
      </c>
      <c r="D165" s="45">
        <v>5</v>
      </c>
      <c r="E165" s="45">
        <v>2</v>
      </c>
      <c r="F165" s="46" t="s">
        <v>397</v>
      </c>
      <c r="G165" s="46" t="s">
        <v>23</v>
      </c>
      <c r="H165" s="47"/>
      <c r="I165" s="52" t="s">
        <v>297</v>
      </c>
      <c r="J165" s="45" t="str">
        <f>VLOOKUP(Table13232[[#This Row],[Track]],$C$836:$E$882,2,FALSE)</f>
        <v>NSW</v>
      </c>
      <c r="K165" s="49">
        <v>100</v>
      </c>
      <c r="L165" s="45" t="str">
        <f>IF(Table13232[[#This Row],[Fin]]&lt;&gt;"1st","",Table13232[[#This Row],[Div]]*Table13232[[#This Row],[Lev Bet]])</f>
        <v/>
      </c>
      <c r="M165" s="45">
        <f>IF(Table13232[[#This Row],[Lev Ret]]="",Table13232[[#This Row],[Lev Bet]]*-1,L165-K165)</f>
        <v>-100</v>
      </c>
      <c r="N165" s="135">
        <v>150</v>
      </c>
      <c r="O165" s="135" t="str">
        <f>IF(Table13232[[#This Row],[Fin]]&lt;&gt;"1st","",Table13232[[#This Row],[Div]]*Table13232[[#This Row],[Nat and Combo Bet]])</f>
        <v/>
      </c>
      <c r="P165" s="135">
        <f>IF(Table13232[[#This Row],[Lev Ret]]="",Table13232[[#This Row],[Nat and Combo Bet]]*-1,O165-N165)</f>
        <v>-150</v>
      </c>
      <c r="Q165" s="50">
        <f t="shared" si="6"/>
        <v>1</v>
      </c>
      <c r="R165" s="50">
        <f>IF(AND(Q164=2,Q165=1),"",IF(Q165=2,(N165+N166)/2,IF(Table13232[[#This Row],[Dual Listing]]=1,Table13232[[#This Row],[Nat and Combo Bet]],11)))</f>
        <v>150</v>
      </c>
      <c r="S165" s="50" t="str">
        <f t="shared" si="7"/>
        <v/>
      </c>
      <c r="T165" s="50">
        <f t="shared" si="8"/>
        <v>-150</v>
      </c>
      <c r="U165" s="50" t="str">
        <f>IF(Table13232[[#This Row],[Date]]&lt;$U$4,"","Live")</f>
        <v/>
      </c>
      <c r="V165" s="45" t="str">
        <f>TEXT(Table13232[[#This Row],[Date]],"DDD")</f>
        <v>Sat</v>
      </c>
      <c r="W165" s="45" t="str">
        <f>PROPER(TRIM(Table13232[[#This Row],[Horse]]))</f>
        <v>Arapaho</v>
      </c>
    </row>
    <row r="166" spans="1:23" x14ac:dyDescent="0.25">
      <c r="A166" s="43">
        <v>45731</v>
      </c>
      <c r="B166" s="44">
        <v>0.62847222222222221</v>
      </c>
      <c r="C166" s="44" t="s">
        <v>34</v>
      </c>
      <c r="D166" s="45">
        <v>6</v>
      </c>
      <c r="E166" s="45">
        <v>4</v>
      </c>
      <c r="F166" s="46" t="s">
        <v>75</v>
      </c>
      <c r="G166" s="46"/>
      <c r="H166" s="47"/>
      <c r="I166" s="47" t="s">
        <v>298</v>
      </c>
      <c r="J166" s="45" t="str">
        <f>VLOOKUP(Table13232[[#This Row],[Track]],$C$836:$E$882,2,FALSE)</f>
        <v>Vic</v>
      </c>
      <c r="K166" s="49">
        <v>100</v>
      </c>
      <c r="L166" s="45" t="str">
        <f>IF(Table13232[[#This Row],[Fin]]&lt;&gt;"1st","",Table13232[[#This Row],[Div]]*Table13232[[#This Row],[Lev Bet]])</f>
        <v/>
      </c>
      <c r="M166" s="45">
        <f>IF(Table13232[[#This Row],[Lev Ret]]="",Table13232[[#This Row],[Lev Bet]]*-1,L166-K166)</f>
        <v>-100</v>
      </c>
      <c r="N166" s="135">
        <v>200</v>
      </c>
      <c r="O166" s="135" t="str">
        <f>IF(Table13232[[#This Row],[Fin]]&lt;&gt;"1st","",Table13232[[#This Row],[Div]]*Table13232[[#This Row],[Nat and Combo Bet]])</f>
        <v/>
      </c>
      <c r="P166" s="135">
        <f>IF(Table13232[[#This Row],[Lev Ret]]="",Table13232[[#This Row],[Nat and Combo Bet]]*-1,O166-N166)</f>
        <v>-200</v>
      </c>
      <c r="Q166" s="50">
        <f t="shared" si="6"/>
        <v>1</v>
      </c>
      <c r="R166" s="50">
        <f>IF(AND(Q165=2,Q166=1),"",IF(Q166=2,(N166+N167)/2,IF(Table13232[[#This Row],[Dual Listing]]=1,Table13232[[#This Row],[Nat and Combo Bet]],11)))</f>
        <v>200</v>
      </c>
      <c r="S166" s="50" t="str">
        <f t="shared" si="7"/>
        <v/>
      </c>
      <c r="T166" s="50">
        <f t="shared" si="8"/>
        <v>-200</v>
      </c>
      <c r="U166" s="50" t="str">
        <f>IF(Table13232[[#This Row],[Date]]&lt;$U$4,"","Live")</f>
        <v/>
      </c>
      <c r="V166" s="45" t="str">
        <f>TEXT(Table13232[[#This Row],[Date]],"DDD")</f>
        <v>Sat</v>
      </c>
      <c r="W166" s="45" t="str">
        <f>PROPER(TRIM(Table13232[[#This Row],[Horse]]))</f>
        <v>Plenty Of Ammo</v>
      </c>
    </row>
    <row r="167" spans="1:23" x14ac:dyDescent="0.25">
      <c r="A167" s="43">
        <v>45731</v>
      </c>
      <c r="B167" s="44">
        <v>0.62847222222222221</v>
      </c>
      <c r="C167" s="44" t="s">
        <v>34</v>
      </c>
      <c r="D167" s="45">
        <v>6</v>
      </c>
      <c r="E167" s="45">
        <v>5</v>
      </c>
      <c r="F167" s="46" t="s">
        <v>161</v>
      </c>
      <c r="G167" s="46" t="s">
        <v>21</v>
      </c>
      <c r="H167" s="47">
        <v>3.9</v>
      </c>
      <c r="I167" s="52" t="s">
        <v>297</v>
      </c>
      <c r="J167" s="45" t="str">
        <f>VLOOKUP(Table13232[[#This Row],[Track]],$C$836:$E$882,2,FALSE)</f>
        <v>Vic</v>
      </c>
      <c r="K167" s="49">
        <v>100</v>
      </c>
      <c r="L167" s="45">
        <f>IF(Table13232[[#This Row],[Fin]]&lt;&gt;"1st","",Table13232[[#This Row],[Div]]*Table13232[[#This Row],[Lev Bet]])</f>
        <v>390</v>
      </c>
      <c r="M167" s="45">
        <f>IF(Table13232[[#This Row],[Lev Ret]]="",Table13232[[#This Row],[Lev Bet]]*-1,L167-K167)</f>
        <v>290</v>
      </c>
      <c r="N167" s="135">
        <v>150</v>
      </c>
      <c r="O167" s="135">
        <f>IF(Table13232[[#This Row],[Fin]]&lt;&gt;"1st","",Table13232[[#This Row],[Div]]*Table13232[[#This Row],[Nat and Combo Bet]])</f>
        <v>585</v>
      </c>
      <c r="P167" s="135">
        <f>IF(Table13232[[#This Row],[Lev Ret]]="",Table13232[[#This Row],[Nat and Combo Bet]]*-1,O167-N167)</f>
        <v>435</v>
      </c>
      <c r="Q167" s="50">
        <f t="shared" si="6"/>
        <v>1</v>
      </c>
      <c r="R167" s="50">
        <f>IF(AND(Q166=2,Q167=1),"",IF(Q167=2,(N167+N168)/2,IF(Table13232[[#This Row],[Dual Listing]]=1,Table13232[[#This Row],[Nat and Combo Bet]],11)))</f>
        <v>150</v>
      </c>
      <c r="S167" s="50">
        <f t="shared" si="7"/>
        <v>585</v>
      </c>
      <c r="T167" s="50">
        <f t="shared" si="8"/>
        <v>435</v>
      </c>
      <c r="U167" s="50" t="str">
        <f>IF(Table13232[[#This Row],[Date]]&lt;$U$4,"","Live")</f>
        <v/>
      </c>
      <c r="V167" s="45" t="str">
        <f>TEXT(Table13232[[#This Row],[Date]],"DDD")</f>
        <v>Sat</v>
      </c>
      <c r="W167" s="45" t="str">
        <f>PROPER(TRIM(Table13232[[#This Row],[Horse]]))</f>
        <v>Pride Of Jenni</v>
      </c>
    </row>
    <row r="168" spans="1:23" x14ac:dyDescent="0.25">
      <c r="A168" s="43">
        <v>45731</v>
      </c>
      <c r="B168" s="44">
        <v>0.65277777777777779</v>
      </c>
      <c r="C168" s="44" t="s">
        <v>34</v>
      </c>
      <c r="D168" s="45">
        <v>7</v>
      </c>
      <c r="E168" s="45">
        <v>4</v>
      </c>
      <c r="F168" s="46" t="s">
        <v>122</v>
      </c>
      <c r="G168" s="46" t="s">
        <v>21</v>
      </c>
      <c r="H168" s="47">
        <v>4.2</v>
      </c>
      <c r="I168" s="47" t="s">
        <v>298</v>
      </c>
      <c r="J168" s="45" t="str">
        <f>VLOOKUP(Table13232[[#This Row],[Track]],$C$836:$E$882,2,FALSE)</f>
        <v>Vic</v>
      </c>
      <c r="K168" s="49">
        <v>100</v>
      </c>
      <c r="L168" s="45">
        <f>IF(Table13232[[#This Row],[Fin]]&lt;&gt;"1st","",Table13232[[#This Row],[Div]]*Table13232[[#This Row],[Lev Bet]])</f>
        <v>420</v>
      </c>
      <c r="M168" s="45">
        <f>IF(Table13232[[#This Row],[Lev Ret]]="",Table13232[[#This Row],[Lev Bet]]*-1,L168-K168)</f>
        <v>320</v>
      </c>
      <c r="N168" s="135">
        <v>100</v>
      </c>
      <c r="O168" s="135">
        <f>IF(Table13232[[#This Row],[Fin]]&lt;&gt;"1st","",Table13232[[#This Row],[Div]]*Table13232[[#This Row],[Nat and Combo Bet]])</f>
        <v>420</v>
      </c>
      <c r="P168" s="135">
        <f>IF(Table13232[[#This Row],[Lev Ret]]="",Table13232[[#This Row],[Nat and Combo Bet]]*-1,O168-N168)</f>
        <v>320</v>
      </c>
      <c r="Q168" s="50">
        <f t="shared" si="6"/>
        <v>1</v>
      </c>
      <c r="R168" s="50">
        <f>IF(AND(Q167=2,Q168=1),"",IF(Q168=2,(N168+N169)/2,IF(Table13232[[#This Row],[Dual Listing]]=1,Table13232[[#This Row],[Nat and Combo Bet]],11)))</f>
        <v>100</v>
      </c>
      <c r="S168" s="50">
        <f t="shared" si="7"/>
        <v>420</v>
      </c>
      <c r="T168" s="50">
        <f t="shared" si="8"/>
        <v>320</v>
      </c>
      <c r="U168" s="50" t="str">
        <f>IF(Table13232[[#This Row],[Date]]&lt;$U$4,"","Live")</f>
        <v/>
      </c>
      <c r="V168" s="45" t="str">
        <f>TEXT(Table13232[[#This Row],[Date]],"DDD")</f>
        <v>Sat</v>
      </c>
      <c r="W168" s="45" t="str">
        <f>PROPER(TRIM(Table13232[[#This Row],[Horse]]))</f>
        <v>Winnasedge</v>
      </c>
    </row>
    <row r="169" spans="1:23" x14ac:dyDescent="0.25">
      <c r="A169" s="43">
        <v>45731</v>
      </c>
      <c r="B169" s="44">
        <v>0.70486111111111116</v>
      </c>
      <c r="C169" s="44" t="s">
        <v>34</v>
      </c>
      <c r="D169" s="45">
        <v>9</v>
      </c>
      <c r="E169" s="45">
        <v>4</v>
      </c>
      <c r="F169" s="46" t="s">
        <v>73</v>
      </c>
      <c r="G169" s="46" t="s">
        <v>21</v>
      </c>
      <c r="H169" s="47">
        <v>3.5</v>
      </c>
      <c r="I169" s="47" t="s">
        <v>298</v>
      </c>
      <c r="J169" s="45" t="str">
        <f>VLOOKUP(Table13232[[#This Row],[Track]],$C$836:$E$882,2,FALSE)</f>
        <v>Vic</v>
      </c>
      <c r="K169" s="49">
        <v>100</v>
      </c>
      <c r="L169" s="45">
        <f>IF(Table13232[[#This Row],[Fin]]&lt;&gt;"1st","",Table13232[[#This Row],[Div]]*Table13232[[#This Row],[Lev Bet]])</f>
        <v>350</v>
      </c>
      <c r="M169" s="45">
        <f>IF(Table13232[[#This Row],[Lev Ret]]="",Table13232[[#This Row],[Lev Bet]]*-1,L169-K169)</f>
        <v>250</v>
      </c>
      <c r="N169" s="135">
        <v>200</v>
      </c>
      <c r="O169" s="135">
        <f>IF(Table13232[[#This Row],[Fin]]&lt;&gt;"1st","",Table13232[[#This Row],[Div]]*Table13232[[#This Row],[Nat and Combo Bet]])</f>
        <v>700</v>
      </c>
      <c r="P169" s="135">
        <f>IF(Table13232[[#This Row],[Lev Ret]]="",Table13232[[#This Row],[Nat and Combo Bet]]*-1,O169-N169)</f>
        <v>500</v>
      </c>
      <c r="Q169" s="50">
        <f t="shared" si="6"/>
        <v>1</v>
      </c>
      <c r="R169" s="50">
        <f>IF(AND(Q168=2,Q169=1),"",IF(Q169=2,(N169+N170)/2,IF(Table13232[[#This Row],[Dual Listing]]=1,Table13232[[#This Row],[Nat and Combo Bet]],11)))</f>
        <v>200</v>
      </c>
      <c r="S169" s="50">
        <f t="shared" si="7"/>
        <v>700</v>
      </c>
      <c r="T169" s="50">
        <f t="shared" si="8"/>
        <v>500</v>
      </c>
      <c r="U169" s="50" t="str">
        <f>IF(Table13232[[#This Row],[Date]]&lt;$U$4,"","Live")</f>
        <v/>
      </c>
      <c r="V169" s="45" t="str">
        <f>TEXT(Table13232[[#This Row],[Date]],"DDD")</f>
        <v>Sat</v>
      </c>
      <c r="W169" s="45" t="str">
        <f>PROPER(TRIM(Table13232[[#This Row],[Horse]]))</f>
        <v>Regal Zeus</v>
      </c>
    </row>
    <row r="170" spans="1:23" x14ac:dyDescent="0.25">
      <c r="A170" s="43">
        <v>45731</v>
      </c>
      <c r="B170" s="44">
        <v>0.71875</v>
      </c>
      <c r="C170" s="44" t="s">
        <v>11</v>
      </c>
      <c r="D170" s="45">
        <v>9</v>
      </c>
      <c r="E170" s="45">
        <v>11</v>
      </c>
      <c r="F170" s="46" t="s">
        <v>124</v>
      </c>
      <c r="G170" s="46"/>
      <c r="H170" s="47"/>
      <c r="I170" s="47" t="s">
        <v>298</v>
      </c>
      <c r="J170" s="45" t="str">
        <f>VLOOKUP(Table13232[[#This Row],[Track]],$C$836:$E$882,2,FALSE)</f>
        <v>NSW</v>
      </c>
      <c r="K170" s="49">
        <v>100</v>
      </c>
      <c r="L170" s="45" t="str">
        <f>IF(Table13232[[#This Row],[Fin]]&lt;&gt;"1st","",Table13232[[#This Row],[Div]]*Table13232[[#This Row],[Lev Bet]])</f>
        <v/>
      </c>
      <c r="M170" s="45">
        <f>IF(Table13232[[#This Row],[Lev Ret]]="",Table13232[[#This Row],[Lev Bet]]*-1,L170-K170)</f>
        <v>-100</v>
      </c>
      <c r="N170" s="135">
        <v>150</v>
      </c>
      <c r="O170" s="135" t="str">
        <f>IF(Table13232[[#This Row],[Fin]]&lt;&gt;"1st","",Table13232[[#This Row],[Div]]*Table13232[[#This Row],[Nat and Combo Bet]])</f>
        <v/>
      </c>
      <c r="P170" s="135">
        <f>IF(Table13232[[#This Row],[Lev Ret]]="",Table13232[[#This Row],[Nat and Combo Bet]]*-1,O170-N170)</f>
        <v>-150</v>
      </c>
      <c r="Q170" s="50">
        <f t="shared" si="6"/>
        <v>1</v>
      </c>
      <c r="R170" s="50">
        <f>IF(AND(Q169=2,Q170=1),"",IF(Q170=2,(N170+N171)/2,IF(Table13232[[#This Row],[Dual Listing]]=1,Table13232[[#This Row],[Nat and Combo Bet]],11)))</f>
        <v>150</v>
      </c>
      <c r="S170" s="50" t="str">
        <f t="shared" si="7"/>
        <v/>
      </c>
      <c r="T170" s="50">
        <f t="shared" si="8"/>
        <v>-150</v>
      </c>
      <c r="U170" s="50" t="str">
        <f>IF(Table13232[[#This Row],[Date]]&lt;$U$4,"","Live")</f>
        <v/>
      </c>
      <c r="V170" s="45" t="str">
        <f>TEXT(Table13232[[#This Row],[Date]],"DDD")</f>
        <v>Sat</v>
      </c>
      <c r="W170" s="45" t="str">
        <f>PROPER(TRIM(Table13232[[#This Row],[Horse]]))</f>
        <v>Ducasse</v>
      </c>
    </row>
    <row r="171" spans="1:23" x14ac:dyDescent="0.25">
      <c r="A171" s="43">
        <v>45731</v>
      </c>
      <c r="B171" s="44">
        <v>0.71875</v>
      </c>
      <c r="C171" s="44" t="s">
        <v>11</v>
      </c>
      <c r="D171" s="45">
        <v>9</v>
      </c>
      <c r="E171" s="45">
        <v>9</v>
      </c>
      <c r="F171" s="46" t="s">
        <v>67</v>
      </c>
      <c r="G171" s="46" t="s">
        <v>23</v>
      </c>
      <c r="H171" s="47"/>
      <c r="I171" s="52" t="s">
        <v>297</v>
      </c>
      <c r="J171" s="45" t="str">
        <f>VLOOKUP(Table13232[[#This Row],[Track]],$C$836:$E$882,2,FALSE)</f>
        <v>NSW</v>
      </c>
      <c r="K171" s="49">
        <v>100</v>
      </c>
      <c r="L171" s="45" t="str">
        <f>IF(Table13232[[#This Row],[Fin]]&lt;&gt;"1st","",Table13232[[#This Row],[Div]]*Table13232[[#This Row],[Lev Bet]])</f>
        <v/>
      </c>
      <c r="M171" s="45">
        <f>IF(Table13232[[#This Row],[Lev Ret]]="",Table13232[[#This Row],[Lev Bet]]*-1,L171-K171)</f>
        <v>-100</v>
      </c>
      <c r="N171" s="135">
        <v>100</v>
      </c>
      <c r="O171" s="135" t="str">
        <f>IF(Table13232[[#This Row],[Fin]]&lt;&gt;"1st","",Table13232[[#This Row],[Div]]*Table13232[[#This Row],[Nat and Combo Bet]])</f>
        <v/>
      </c>
      <c r="P171" s="135">
        <f>IF(Table13232[[#This Row],[Lev Ret]]="",Table13232[[#This Row],[Nat and Combo Bet]]*-1,O171-N171)</f>
        <v>-100</v>
      </c>
      <c r="Q171" s="50">
        <f t="shared" si="6"/>
        <v>1</v>
      </c>
      <c r="R171" s="50">
        <f>IF(AND(Q170=2,Q171=1),"",IF(Q171=2,(N171+N172)/2,IF(Table13232[[#This Row],[Dual Listing]]=1,Table13232[[#This Row],[Nat and Combo Bet]],11)))</f>
        <v>100</v>
      </c>
      <c r="S171" s="50" t="str">
        <f t="shared" si="7"/>
        <v/>
      </c>
      <c r="T171" s="50">
        <f t="shared" si="8"/>
        <v>-100</v>
      </c>
      <c r="U171" s="50" t="str">
        <f>IF(Table13232[[#This Row],[Date]]&lt;$U$4,"","Live")</f>
        <v/>
      </c>
      <c r="V171" s="45" t="str">
        <f>TEXT(Table13232[[#This Row],[Date]],"DDD")</f>
        <v>Sat</v>
      </c>
      <c r="W171" s="45" t="str">
        <f>PROPER(TRIM(Table13232[[#This Row],[Horse]]))</f>
        <v>Willaidow</v>
      </c>
    </row>
    <row r="172" spans="1:23" x14ac:dyDescent="0.25">
      <c r="A172" s="43">
        <v>45731</v>
      </c>
      <c r="B172" s="44">
        <v>0.7270833333333333</v>
      </c>
      <c r="C172" s="44" t="s">
        <v>12</v>
      </c>
      <c r="D172" s="45">
        <v>11</v>
      </c>
      <c r="E172" s="45">
        <v>13</v>
      </c>
      <c r="F172" s="46" t="s">
        <v>125</v>
      </c>
      <c r="G172" s="46" t="s">
        <v>21</v>
      </c>
      <c r="H172" s="47">
        <v>2.9</v>
      </c>
      <c r="I172" s="47" t="s">
        <v>298</v>
      </c>
      <c r="J172" s="45" t="str">
        <f>VLOOKUP(Table13232[[#This Row],[Track]],$C$836:$E$882,2,FALSE)</f>
        <v>Qld</v>
      </c>
      <c r="K172" s="49">
        <v>100</v>
      </c>
      <c r="L172" s="45">
        <f>IF(Table13232[[#This Row],[Fin]]&lt;&gt;"1st","",Table13232[[#This Row],[Div]]*Table13232[[#This Row],[Lev Bet]])</f>
        <v>290</v>
      </c>
      <c r="M172" s="45">
        <f>IF(Table13232[[#This Row],[Lev Ret]]="",Table13232[[#This Row],[Lev Bet]]*-1,L172-K172)</f>
        <v>190</v>
      </c>
      <c r="N172" s="135">
        <v>100</v>
      </c>
      <c r="O172" s="135">
        <f>IF(Table13232[[#This Row],[Fin]]&lt;&gt;"1st","",Table13232[[#This Row],[Div]]*Table13232[[#This Row],[Nat and Combo Bet]])</f>
        <v>290</v>
      </c>
      <c r="P172" s="135">
        <f>IF(Table13232[[#This Row],[Lev Ret]]="",Table13232[[#This Row],[Nat and Combo Bet]]*-1,O172-N172)</f>
        <v>190</v>
      </c>
      <c r="Q172" s="50">
        <f t="shared" si="6"/>
        <v>1</v>
      </c>
      <c r="R172" s="50">
        <f>IF(AND(Q171=2,Q172=1),"",IF(Q172=2,(N172+N173)/2,IF(Table13232[[#This Row],[Dual Listing]]=1,Table13232[[#This Row],[Nat and Combo Bet]],11)))</f>
        <v>100</v>
      </c>
      <c r="S172" s="50">
        <f t="shared" si="7"/>
        <v>290</v>
      </c>
      <c r="T172" s="50">
        <f t="shared" si="8"/>
        <v>190</v>
      </c>
      <c r="U172" s="50" t="str">
        <f>IF(Table13232[[#This Row],[Date]]&lt;$U$4,"","Live")</f>
        <v/>
      </c>
      <c r="V172" s="45" t="str">
        <f>TEXT(Table13232[[#This Row],[Date]],"DDD")</f>
        <v>Sat</v>
      </c>
      <c r="W172" s="45" t="str">
        <f>PROPER(TRIM(Table13232[[#This Row],[Horse]]))</f>
        <v>Heyoka</v>
      </c>
    </row>
    <row r="173" spans="1:23" x14ac:dyDescent="0.25">
      <c r="A173" s="43">
        <v>45731</v>
      </c>
      <c r="B173" s="44">
        <v>0.74652777777777779</v>
      </c>
      <c r="C173" s="44" t="s">
        <v>11</v>
      </c>
      <c r="D173" s="45">
        <v>10</v>
      </c>
      <c r="E173" s="45">
        <v>10</v>
      </c>
      <c r="F173" s="46" t="s">
        <v>71</v>
      </c>
      <c r="G173" s="46"/>
      <c r="H173" s="47"/>
      <c r="I173" s="52" t="s">
        <v>297</v>
      </c>
      <c r="J173" s="45" t="str">
        <f>VLOOKUP(Table13232[[#This Row],[Track]],$C$836:$E$882,2,FALSE)</f>
        <v>NSW</v>
      </c>
      <c r="K173" s="49">
        <v>100</v>
      </c>
      <c r="L173" s="45" t="str">
        <f>IF(Table13232[[#This Row],[Fin]]&lt;&gt;"1st","",Table13232[[#This Row],[Div]]*Table13232[[#This Row],[Lev Bet]])</f>
        <v/>
      </c>
      <c r="M173" s="45">
        <f>IF(Table13232[[#This Row],[Lev Ret]]="",Table13232[[#This Row],[Lev Bet]]*-1,L173-K173)</f>
        <v>-100</v>
      </c>
      <c r="N173" s="135">
        <v>100</v>
      </c>
      <c r="O173" s="135" t="str">
        <f>IF(Table13232[[#This Row],[Fin]]&lt;&gt;"1st","",Table13232[[#This Row],[Div]]*Table13232[[#This Row],[Nat and Combo Bet]])</f>
        <v/>
      </c>
      <c r="P173" s="135">
        <f>IF(Table13232[[#This Row],[Lev Ret]]="",Table13232[[#This Row],[Nat and Combo Bet]]*-1,O173-N173)</f>
        <v>-100</v>
      </c>
      <c r="Q173" s="50">
        <f t="shared" si="6"/>
        <v>1</v>
      </c>
      <c r="R173" s="50">
        <f>IF(AND(Q172=2,Q173=1),"",IF(Q173=2,(N173+N174)/2,IF(Table13232[[#This Row],[Dual Listing]]=1,Table13232[[#This Row],[Nat and Combo Bet]],11)))</f>
        <v>100</v>
      </c>
      <c r="S173" s="50" t="str">
        <f t="shared" si="7"/>
        <v/>
      </c>
      <c r="T173" s="50">
        <f t="shared" si="8"/>
        <v>-100</v>
      </c>
      <c r="U173" s="50" t="str">
        <f>IF(Table13232[[#This Row],[Date]]&lt;$U$4,"","Live")</f>
        <v/>
      </c>
      <c r="V173" s="45" t="str">
        <f>TEXT(Table13232[[#This Row],[Date]],"DDD")</f>
        <v>Sat</v>
      </c>
      <c r="W173" s="45" t="str">
        <f>PROPER(TRIM(Table13232[[#This Row],[Horse]]))</f>
        <v>Watch My Girl</v>
      </c>
    </row>
    <row r="174" spans="1:23" x14ac:dyDescent="0.25">
      <c r="A174" s="43">
        <v>45738</v>
      </c>
      <c r="B174" s="44">
        <v>0.51041666666666663</v>
      </c>
      <c r="C174" s="44" t="s">
        <v>36</v>
      </c>
      <c r="D174" s="45">
        <v>1</v>
      </c>
      <c r="E174" s="45">
        <v>7</v>
      </c>
      <c r="F174" s="46" t="s">
        <v>398</v>
      </c>
      <c r="G174" s="46" t="s">
        <v>21</v>
      </c>
      <c r="H174" s="47">
        <v>3.1</v>
      </c>
      <c r="I174" s="52" t="s">
        <v>297</v>
      </c>
      <c r="J174" s="45" t="str">
        <f>VLOOKUP(Table13232[[#This Row],[Track]],$C$836:$E$882,2,FALSE)</f>
        <v>Vic</v>
      </c>
      <c r="K174" s="49">
        <v>100</v>
      </c>
      <c r="L174" s="45">
        <f>IF(Table13232[[#This Row],[Fin]]&lt;&gt;"1st","",Table13232[[#This Row],[Div]]*Table13232[[#This Row],[Lev Bet]])</f>
        <v>310</v>
      </c>
      <c r="M174" s="45">
        <f>IF(Table13232[[#This Row],[Lev Ret]]="",Table13232[[#This Row],[Lev Bet]]*-1,L174-K174)</f>
        <v>210</v>
      </c>
      <c r="N174" s="135">
        <v>200</v>
      </c>
      <c r="O174" s="135">
        <f>IF(Table13232[[#This Row],[Fin]]&lt;&gt;"1st","",Table13232[[#This Row],[Div]]*Table13232[[#This Row],[Nat and Combo Bet]])</f>
        <v>620</v>
      </c>
      <c r="P174" s="135">
        <f>IF(Table13232[[#This Row],[Lev Ret]]="",Table13232[[#This Row],[Nat and Combo Bet]]*-1,O174-N174)</f>
        <v>420</v>
      </c>
      <c r="Q174" s="50">
        <f t="shared" si="6"/>
        <v>1</v>
      </c>
      <c r="R174" s="50">
        <f>IF(AND(Q173=2,Q174=1),"",IF(Q174=2,(N174+N175)/2,IF(Table13232[[#This Row],[Dual Listing]]=1,Table13232[[#This Row],[Nat and Combo Bet]],11)))</f>
        <v>200</v>
      </c>
      <c r="S174" s="50">
        <f t="shared" si="7"/>
        <v>620</v>
      </c>
      <c r="T174" s="50">
        <f t="shared" si="8"/>
        <v>420</v>
      </c>
      <c r="U174" s="50" t="str">
        <f>IF(Table13232[[#This Row],[Date]]&lt;$U$4,"","Live")</f>
        <v/>
      </c>
      <c r="V174" s="45" t="str">
        <f>TEXT(Table13232[[#This Row],[Date]],"DDD")</f>
        <v>Sat</v>
      </c>
      <c r="W174" s="45" t="str">
        <f>PROPER(TRIM(Table13232[[#This Row],[Horse]]))</f>
        <v>Bur Dubai</v>
      </c>
    </row>
    <row r="175" spans="1:23" x14ac:dyDescent="0.25">
      <c r="A175" s="43">
        <v>45738</v>
      </c>
      <c r="B175" s="44">
        <v>0.55069444444444449</v>
      </c>
      <c r="C175" s="44" t="s">
        <v>12</v>
      </c>
      <c r="D175" s="45">
        <v>1</v>
      </c>
      <c r="E175" s="45">
        <v>1</v>
      </c>
      <c r="F175" s="46" t="s">
        <v>68</v>
      </c>
      <c r="G175" s="46"/>
      <c r="H175" s="47"/>
      <c r="I175" s="47" t="s">
        <v>298</v>
      </c>
      <c r="J175" s="45" t="str">
        <f>VLOOKUP(Table13232[[#This Row],[Track]],$C$836:$E$882,2,FALSE)</f>
        <v>Qld</v>
      </c>
      <c r="K175" s="49">
        <v>100</v>
      </c>
      <c r="L175" s="45" t="str">
        <f>IF(Table13232[[#This Row],[Fin]]&lt;&gt;"1st","",Table13232[[#This Row],[Div]]*Table13232[[#This Row],[Lev Bet]])</f>
        <v/>
      </c>
      <c r="M175" s="45">
        <f>IF(Table13232[[#This Row],[Lev Ret]]="",Table13232[[#This Row],[Lev Bet]]*-1,L175-K175)</f>
        <v>-100</v>
      </c>
      <c r="N175" s="135">
        <v>100</v>
      </c>
      <c r="O175" s="135" t="str">
        <f>IF(Table13232[[#This Row],[Fin]]&lt;&gt;"1st","",Table13232[[#This Row],[Div]]*Table13232[[#This Row],[Nat and Combo Bet]])</f>
        <v/>
      </c>
      <c r="P175" s="135">
        <f>IF(Table13232[[#This Row],[Lev Ret]]="",Table13232[[#This Row],[Nat and Combo Bet]]*-1,O175-N175)</f>
        <v>-100</v>
      </c>
      <c r="Q175" s="50">
        <f t="shared" si="6"/>
        <v>1</v>
      </c>
      <c r="R175" s="50">
        <f>IF(AND(Q174=2,Q175=1),"",IF(Q175=2,(N175+N176)/2,IF(Table13232[[#This Row],[Dual Listing]]=1,Table13232[[#This Row],[Nat and Combo Bet]],11)))</f>
        <v>100</v>
      </c>
      <c r="S175" s="50" t="str">
        <f t="shared" si="7"/>
        <v/>
      </c>
      <c r="T175" s="50">
        <f t="shared" si="8"/>
        <v>-100</v>
      </c>
      <c r="U175" s="50" t="str">
        <f>IF(Table13232[[#This Row],[Date]]&lt;$U$4,"","Live")</f>
        <v/>
      </c>
      <c r="V175" s="45" t="str">
        <f>TEXT(Table13232[[#This Row],[Date]],"DDD")</f>
        <v>Sat</v>
      </c>
      <c r="W175" s="45" t="str">
        <f>PROPER(TRIM(Table13232[[#This Row],[Horse]]))</f>
        <v>Free Carry</v>
      </c>
    </row>
    <row r="176" spans="1:23" x14ac:dyDescent="0.25">
      <c r="A176" s="43">
        <v>45738</v>
      </c>
      <c r="B176" s="44">
        <v>0.57499999999999996</v>
      </c>
      <c r="C176" s="44" t="s">
        <v>12</v>
      </c>
      <c r="D176" s="45">
        <v>2</v>
      </c>
      <c r="E176" s="45">
        <v>7</v>
      </c>
      <c r="F176" s="46" t="s">
        <v>127</v>
      </c>
      <c r="G176" s="46" t="s">
        <v>22</v>
      </c>
      <c r="H176" s="47"/>
      <c r="I176" s="47" t="s">
        <v>298</v>
      </c>
      <c r="J176" s="45" t="str">
        <f>VLOOKUP(Table13232[[#This Row],[Track]],$C$836:$E$882,2,FALSE)</f>
        <v>Qld</v>
      </c>
      <c r="K176" s="49">
        <v>100</v>
      </c>
      <c r="L176" s="45" t="str">
        <f>IF(Table13232[[#This Row],[Fin]]&lt;&gt;"1st","",Table13232[[#This Row],[Div]]*Table13232[[#This Row],[Lev Bet]])</f>
        <v/>
      </c>
      <c r="M176" s="45">
        <f>IF(Table13232[[#This Row],[Lev Ret]]="",Table13232[[#This Row],[Lev Bet]]*-1,L176-K176)</f>
        <v>-100</v>
      </c>
      <c r="N176" s="135">
        <v>100</v>
      </c>
      <c r="O176" s="135" t="str">
        <f>IF(Table13232[[#This Row],[Fin]]&lt;&gt;"1st","",Table13232[[#This Row],[Div]]*Table13232[[#This Row],[Nat and Combo Bet]])</f>
        <v/>
      </c>
      <c r="P176" s="135">
        <f>IF(Table13232[[#This Row],[Lev Ret]]="",Table13232[[#This Row],[Nat and Combo Bet]]*-1,O176-N176)</f>
        <v>-100</v>
      </c>
      <c r="Q176" s="50">
        <f t="shared" si="6"/>
        <v>1</v>
      </c>
      <c r="R176" s="50">
        <f>IF(AND(Q175=2,Q176=1),"",IF(Q176=2,(N176+N177)/2,IF(Table13232[[#This Row],[Dual Listing]]=1,Table13232[[#This Row],[Nat and Combo Bet]],11)))</f>
        <v>100</v>
      </c>
      <c r="S176" s="50" t="str">
        <f t="shared" si="7"/>
        <v/>
      </c>
      <c r="T176" s="50">
        <f t="shared" si="8"/>
        <v>-100</v>
      </c>
      <c r="U176" s="50" t="str">
        <f>IF(Table13232[[#This Row],[Date]]&lt;$U$4,"","Live")</f>
        <v/>
      </c>
      <c r="V176" s="45" t="str">
        <f>TEXT(Table13232[[#This Row],[Date]],"DDD")</f>
        <v>Sat</v>
      </c>
      <c r="W176" s="45" t="str">
        <f>PROPER(TRIM(Table13232[[#This Row],[Horse]]))</f>
        <v>Iverson</v>
      </c>
    </row>
    <row r="177" spans="1:23" x14ac:dyDescent="0.25">
      <c r="A177" s="43">
        <v>45738</v>
      </c>
      <c r="B177" s="44">
        <v>0.57986111111111116</v>
      </c>
      <c r="C177" s="44" t="s">
        <v>36</v>
      </c>
      <c r="D177" s="45">
        <v>4</v>
      </c>
      <c r="E177" s="45">
        <v>7</v>
      </c>
      <c r="F177" s="46" t="s">
        <v>227</v>
      </c>
      <c r="G177" s="46"/>
      <c r="H177" s="47"/>
      <c r="I177" s="52" t="s">
        <v>297</v>
      </c>
      <c r="J177" s="45" t="str">
        <f>VLOOKUP(Table13232[[#This Row],[Track]],$C$836:$E$882,2,FALSE)</f>
        <v>Vic</v>
      </c>
      <c r="K177" s="49">
        <v>100</v>
      </c>
      <c r="L177" s="45" t="str">
        <f>IF(Table13232[[#This Row],[Fin]]&lt;&gt;"1st","",Table13232[[#This Row],[Div]]*Table13232[[#This Row],[Lev Bet]])</f>
        <v/>
      </c>
      <c r="M177" s="45">
        <f>IF(Table13232[[#This Row],[Lev Ret]]="",Table13232[[#This Row],[Lev Bet]]*-1,L177-K177)</f>
        <v>-100</v>
      </c>
      <c r="N177" s="135">
        <v>50</v>
      </c>
      <c r="O177" s="135" t="str">
        <f>IF(Table13232[[#This Row],[Fin]]&lt;&gt;"1st","",Table13232[[#This Row],[Div]]*Table13232[[#This Row],[Nat and Combo Bet]])</f>
        <v/>
      </c>
      <c r="P177" s="135">
        <f>IF(Table13232[[#This Row],[Lev Ret]]="",Table13232[[#This Row],[Nat and Combo Bet]]*-1,O177-N177)</f>
        <v>-50</v>
      </c>
      <c r="Q177" s="50">
        <f t="shared" si="6"/>
        <v>1</v>
      </c>
      <c r="R177" s="50">
        <f>IF(AND(Q176=2,Q177=1),"",IF(Q177=2,(N177+N178)/2,IF(Table13232[[#This Row],[Dual Listing]]=1,Table13232[[#This Row],[Nat and Combo Bet]],11)))</f>
        <v>50</v>
      </c>
      <c r="S177" s="50" t="str">
        <f t="shared" si="7"/>
        <v/>
      </c>
      <c r="T177" s="50">
        <f t="shared" si="8"/>
        <v>-50</v>
      </c>
      <c r="U177" s="50" t="str">
        <f>IF(Table13232[[#This Row],[Date]]&lt;$U$4,"","Live")</f>
        <v/>
      </c>
      <c r="V177" s="45" t="str">
        <f>TEXT(Table13232[[#This Row],[Date]],"DDD")</f>
        <v>Sat</v>
      </c>
      <c r="W177" s="45" t="str">
        <f>PROPER(TRIM(Table13232[[#This Row],[Horse]]))</f>
        <v>Capper Thirtynine</v>
      </c>
    </row>
    <row r="178" spans="1:23" x14ac:dyDescent="0.25">
      <c r="A178" s="43">
        <v>45738</v>
      </c>
      <c r="B178" s="44">
        <v>0.59375</v>
      </c>
      <c r="C178" s="44" t="s">
        <v>11</v>
      </c>
      <c r="D178" s="45">
        <v>4</v>
      </c>
      <c r="E178" s="45">
        <v>3</v>
      </c>
      <c r="F178" s="46" t="s">
        <v>128</v>
      </c>
      <c r="G178" s="46" t="s">
        <v>21</v>
      </c>
      <c r="H178" s="47">
        <v>1.95</v>
      </c>
      <c r="I178" s="47" t="s">
        <v>298</v>
      </c>
      <c r="J178" s="45" t="str">
        <f>VLOOKUP(Table13232[[#This Row],[Track]],$C$836:$E$882,2,FALSE)</f>
        <v>NSW</v>
      </c>
      <c r="K178" s="49">
        <v>100</v>
      </c>
      <c r="L178" s="45">
        <f>IF(Table13232[[#This Row],[Fin]]&lt;&gt;"1st","",Table13232[[#This Row],[Div]]*Table13232[[#This Row],[Lev Bet]])</f>
        <v>195</v>
      </c>
      <c r="M178" s="45">
        <f>IF(Table13232[[#This Row],[Lev Ret]]="",Table13232[[#This Row],[Lev Bet]]*-1,L178-K178)</f>
        <v>95</v>
      </c>
      <c r="N178" s="135">
        <v>150</v>
      </c>
      <c r="O178" s="135">
        <f>IF(Table13232[[#This Row],[Fin]]&lt;&gt;"1st","",Table13232[[#This Row],[Div]]*Table13232[[#This Row],[Nat and Combo Bet]])</f>
        <v>292.5</v>
      </c>
      <c r="P178" s="135">
        <f>IF(Table13232[[#This Row],[Lev Ret]]="",Table13232[[#This Row],[Nat and Combo Bet]]*-1,O178-N178)</f>
        <v>142.5</v>
      </c>
      <c r="Q178" s="50">
        <f t="shared" si="6"/>
        <v>1</v>
      </c>
      <c r="R178" s="50">
        <f>IF(AND(Q177=2,Q178=1),"",IF(Q178=2,(N178+N179)/2,IF(Table13232[[#This Row],[Dual Listing]]=1,Table13232[[#This Row],[Nat and Combo Bet]],11)))</f>
        <v>150</v>
      </c>
      <c r="S178" s="50">
        <f t="shared" si="7"/>
        <v>292.5</v>
      </c>
      <c r="T178" s="50">
        <f t="shared" si="8"/>
        <v>142.5</v>
      </c>
      <c r="U178" s="50" t="str">
        <f>IF(Table13232[[#This Row],[Date]]&lt;$U$4,"","Live")</f>
        <v/>
      </c>
      <c r="V178" s="45" t="str">
        <f>TEXT(Table13232[[#This Row],[Date]],"DDD")</f>
        <v>Sat</v>
      </c>
      <c r="W178" s="45" t="str">
        <f>PROPER(TRIM(Table13232[[#This Row],[Horse]]))</f>
        <v>Autumn Glow</v>
      </c>
    </row>
    <row r="179" spans="1:23" x14ac:dyDescent="0.25">
      <c r="A179" s="43">
        <v>45738</v>
      </c>
      <c r="B179" s="44">
        <v>0.60416666666666663</v>
      </c>
      <c r="C179" s="44" t="s">
        <v>36</v>
      </c>
      <c r="D179" s="45">
        <v>5</v>
      </c>
      <c r="E179" s="45">
        <v>2</v>
      </c>
      <c r="F179" s="46" t="s">
        <v>65</v>
      </c>
      <c r="G179" s="46"/>
      <c r="H179" s="47"/>
      <c r="I179" s="52" t="s">
        <v>297</v>
      </c>
      <c r="J179" s="45" t="str">
        <f>VLOOKUP(Table13232[[#This Row],[Track]],$C$836:$E$882,2,FALSE)</f>
        <v>Vic</v>
      </c>
      <c r="K179" s="49">
        <v>100</v>
      </c>
      <c r="L179" s="45" t="str">
        <f>IF(Table13232[[#This Row],[Fin]]&lt;&gt;"1st","",Table13232[[#This Row],[Div]]*Table13232[[#This Row],[Lev Bet]])</f>
        <v/>
      </c>
      <c r="M179" s="45">
        <f>IF(Table13232[[#This Row],[Lev Ret]]="",Table13232[[#This Row],[Lev Bet]]*-1,L179-K179)</f>
        <v>-100</v>
      </c>
      <c r="N179" s="135">
        <v>200</v>
      </c>
      <c r="O179" s="135" t="str">
        <f>IF(Table13232[[#This Row],[Fin]]&lt;&gt;"1st","",Table13232[[#This Row],[Div]]*Table13232[[#This Row],[Nat and Combo Bet]])</f>
        <v/>
      </c>
      <c r="P179" s="135">
        <f>IF(Table13232[[#This Row],[Lev Ret]]="",Table13232[[#This Row],[Nat and Combo Bet]]*-1,O179-N179)</f>
        <v>-200</v>
      </c>
      <c r="Q179" s="50">
        <f t="shared" si="6"/>
        <v>1</v>
      </c>
      <c r="R179" s="50">
        <f>IF(AND(Q178=2,Q179=1),"",IF(Q179=2,(N179+N180)/2,IF(Table13232[[#This Row],[Dual Listing]]=1,Table13232[[#This Row],[Nat and Combo Bet]],11)))</f>
        <v>200</v>
      </c>
      <c r="S179" s="50" t="str">
        <f t="shared" si="7"/>
        <v/>
      </c>
      <c r="T179" s="50">
        <f t="shared" si="8"/>
        <v>-200</v>
      </c>
      <c r="U179" s="50" t="str">
        <f>IF(Table13232[[#This Row],[Date]]&lt;$U$4,"","Live")</f>
        <v/>
      </c>
      <c r="V179" s="45" t="str">
        <f>TEXT(Table13232[[#This Row],[Date]],"DDD")</f>
        <v>Sat</v>
      </c>
      <c r="W179" s="45" t="str">
        <f>PROPER(TRIM(Table13232[[#This Row],[Horse]]))</f>
        <v>Dashing Duchess</v>
      </c>
    </row>
    <row r="180" spans="1:23" x14ac:dyDescent="0.25">
      <c r="A180" s="43">
        <v>45738</v>
      </c>
      <c r="B180" s="44">
        <v>0.61805555555555558</v>
      </c>
      <c r="C180" s="44" t="s">
        <v>11</v>
      </c>
      <c r="D180" s="45">
        <v>5</v>
      </c>
      <c r="E180" s="45">
        <v>6</v>
      </c>
      <c r="F180" s="46" t="s">
        <v>129</v>
      </c>
      <c r="G180" s="46" t="s">
        <v>21</v>
      </c>
      <c r="H180" s="47">
        <v>1.3</v>
      </c>
      <c r="I180" s="47" t="s">
        <v>298</v>
      </c>
      <c r="J180" s="45" t="str">
        <f>VLOOKUP(Table13232[[#This Row],[Track]],$C$836:$E$882,2,FALSE)</f>
        <v>NSW</v>
      </c>
      <c r="K180" s="49">
        <v>100</v>
      </c>
      <c r="L180" s="45">
        <f>IF(Table13232[[#This Row],[Fin]]&lt;&gt;"1st","",Table13232[[#This Row],[Div]]*Table13232[[#This Row],[Lev Bet]])</f>
        <v>130</v>
      </c>
      <c r="M180" s="45">
        <f>IF(Table13232[[#This Row],[Lev Ret]]="",Table13232[[#This Row],[Lev Bet]]*-1,L180-K180)</f>
        <v>30</v>
      </c>
      <c r="N180" s="135">
        <v>150</v>
      </c>
      <c r="O180" s="135">
        <f>IF(Table13232[[#This Row],[Fin]]&lt;&gt;"1st","",Table13232[[#This Row],[Div]]*Table13232[[#This Row],[Nat and Combo Bet]])</f>
        <v>195</v>
      </c>
      <c r="P180" s="135">
        <f>IF(Table13232[[#This Row],[Lev Ret]]="",Table13232[[#This Row],[Nat and Combo Bet]]*-1,O180-N180)</f>
        <v>45</v>
      </c>
      <c r="Q180" s="50">
        <f t="shared" si="6"/>
        <v>1</v>
      </c>
      <c r="R180" s="50">
        <f>IF(AND(Q179=2,Q180=1),"",IF(Q180=2,(N180+N181)/2,IF(Table13232[[#This Row],[Dual Listing]]=1,Table13232[[#This Row],[Nat and Combo Bet]],11)))</f>
        <v>150</v>
      </c>
      <c r="S180" s="50">
        <f t="shared" si="7"/>
        <v>195</v>
      </c>
      <c r="T180" s="50">
        <f t="shared" si="8"/>
        <v>45</v>
      </c>
      <c r="U180" s="50" t="str">
        <f>IF(Table13232[[#This Row],[Date]]&lt;$U$4,"","Live")</f>
        <v/>
      </c>
      <c r="V180" s="45" t="str">
        <f>TEXT(Table13232[[#This Row],[Date]],"DDD")</f>
        <v>Sat</v>
      </c>
      <c r="W180" s="45" t="str">
        <f>PROPER(TRIM(Table13232[[#This Row],[Horse]]))</f>
        <v>Via Sistina</v>
      </c>
    </row>
    <row r="181" spans="1:23" x14ac:dyDescent="0.25">
      <c r="A181" s="43">
        <v>45738</v>
      </c>
      <c r="B181" s="44">
        <v>0.62361111111111112</v>
      </c>
      <c r="C181" s="44" t="s">
        <v>12</v>
      </c>
      <c r="D181" s="45">
        <v>4</v>
      </c>
      <c r="E181" s="45">
        <v>3</v>
      </c>
      <c r="F181" s="46" t="s">
        <v>94</v>
      </c>
      <c r="G181" s="46" t="s">
        <v>23</v>
      </c>
      <c r="H181" s="47"/>
      <c r="I181" s="47" t="s">
        <v>298</v>
      </c>
      <c r="J181" s="45" t="str">
        <f>VLOOKUP(Table13232[[#This Row],[Track]],$C$836:$E$882,2,FALSE)</f>
        <v>Qld</v>
      </c>
      <c r="K181" s="49">
        <v>100</v>
      </c>
      <c r="L181" s="45" t="str">
        <f>IF(Table13232[[#This Row],[Fin]]&lt;&gt;"1st","",Table13232[[#This Row],[Div]]*Table13232[[#This Row],[Lev Bet]])</f>
        <v/>
      </c>
      <c r="M181" s="45">
        <f>IF(Table13232[[#This Row],[Lev Ret]]="",Table13232[[#This Row],[Lev Bet]]*-1,L181-K181)</f>
        <v>-100</v>
      </c>
      <c r="N181" s="135">
        <v>100</v>
      </c>
      <c r="O181" s="135" t="str">
        <f>IF(Table13232[[#This Row],[Fin]]&lt;&gt;"1st","",Table13232[[#This Row],[Div]]*Table13232[[#This Row],[Nat and Combo Bet]])</f>
        <v/>
      </c>
      <c r="P181" s="135">
        <f>IF(Table13232[[#This Row],[Lev Ret]]="",Table13232[[#This Row],[Nat and Combo Bet]]*-1,O181-N181)</f>
        <v>-100</v>
      </c>
      <c r="Q181" s="50">
        <f t="shared" si="6"/>
        <v>1</v>
      </c>
      <c r="R181" s="50">
        <f>IF(AND(Q180=2,Q181=1),"",IF(Q181=2,(N181+N182)/2,IF(Table13232[[#This Row],[Dual Listing]]=1,Table13232[[#This Row],[Nat and Combo Bet]],11)))</f>
        <v>100</v>
      </c>
      <c r="S181" s="50" t="str">
        <f t="shared" si="7"/>
        <v/>
      </c>
      <c r="T181" s="50">
        <f t="shared" si="8"/>
        <v>-100</v>
      </c>
      <c r="U181" s="50" t="str">
        <f>IF(Table13232[[#This Row],[Date]]&lt;$U$4,"","Live")</f>
        <v/>
      </c>
      <c r="V181" s="45" t="str">
        <f>TEXT(Table13232[[#This Row],[Date]],"DDD")</f>
        <v>Sat</v>
      </c>
      <c r="W181" s="45" t="str">
        <f>PROPER(TRIM(Table13232[[#This Row],[Horse]]))</f>
        <v>Devastate</v>
      </c>
    </row>
    <row r="182" spans="1:23" x14ac:dyDescent="0.25">
      <c r="A182" s="43">
        <v>45738</v>
      </c>
      <c r="B182" s="44">
        <v>0.6479166666666667</v>
      </c>
      <c r="C182" s="44" t="s">
        <v>12</v>
      </c>
      <c r="D182" s="45">
        <v>5</v>
      </c>
      <c r="E182" s="45">
        <v>9</v>
      </c>
      <c r="F182" s="46" t="s">
        <v>130</v>
      </c>
      <c r="G182" s="46" t="s">
        <v>21</v>
      </c>
      <c r="H182" s="47">
        <v>3.8</v>
      </c>
      <c r="I182" s="47" t="s">
        <v>298</v>
      </c>
      <c r="J182" s="45" t="str">
        <f>VLOOKUP(Table13232[[#This Row],[Track]],$C$836:$E$882,2,FALSE)</f>
        <v>Qld</v>
      </c>
      <c r="K182" s="49">
        <v>100</v>
      </c>
      <c r="L182" s="45">
        <f>IF(Table13232[[#This Row],[Fin]]&lt;&gt;"1st","",Table13232[[#This Row],[Div]]*Table13232[[#This Row],[Lev Bet]])</f>
        <v>380</v>
      </c>
      <c r="M182" s="45">
        <f>IF(Table13232[[#This Row],[Lev Ret]]="",Table13232[[#This Row],[Lev Bet]]*-1,L182-K182)</f>
        <v>280</v>
      </c>
      <c r="N182" s="135">
        <v>100</v>
      </c>
      <c r="O182" s="135">
        <f>IF(Table13232[[#This Row],[Fin]]&lt;&gt;"1st","",Table13232[[#This Row],[Div]]*Table13232[[#This Row],[Nat and Combo Bet]])</f>
        <v>380</v>
      </c>
      <c r="P182" s="135">
        <f>IF(Table13232[[#This Row],[Lev Ret]]="",Table13232[[#This Row],[Nat and Combo Bet]]*-1,O182-N182)</f>
        <v>280</v>
      </c>
      <c r="Q182" s="50">
        <f t="shared" si="6"/>
        <v>1</v>
      </c>
      <c r="R182" s="50">
        <f>IF(AND(Q181=2,Q182=1),"",IF(Q182=2,(N182+N183)/2,IF(Table13232[[#This Row],[Dual Listing]]=1,Table13232[[#This Row],[Nat and Combo Bet]],11)))</f>
        <v>100</v>
      </c>
      <c r="S182" s="50">
        <f t="shared" si="7"/>
        <v>380</v>
      </c>
      <c r="T182" s="50">
        <f t="shared" si="8"/>
        <v>280</v>
      </c>
      <c r="U182" s="50" t="str">
        <f>IF(Table13232[[#This Row],[Date]]&lt;$U$4,"","Live")</f>
        <v/>
      </c>
      <c r="V182" s="45" t="str">
        <f>TEXT(Table13232[[#This Row],[Date]],"DDD")</f>
        <v>Sat</v>
      </c>
      <c r="W182" s="45" t="str">
        <f>PROPER(TRIM(Table13232[[#This Row],[Horse]]))</f>
        <v>Super Daisy</v>
      </c>
    </row>
    <row r="183" spans="1:23" x14ac:dyDescent="0.25">
      <c r="A183" s="43">
        <v>45738</v>
      </c>
      <c r="B183" s="44">
        <v>0.69930555555555551</v>
      </c>
      <c r="C183" s="44" t="s">
        <v>12</v>
      </c>
      <c r="D183" s="45">
        <v>7</v>
      </c>
      <c r="E183" s="45">
        <v>5</v>
      </c>
      <c r="F183" s="46" t="s">
        <v>131</v>
      </c>
      <c r="G183" s="46"/>
      <c r="H183" s="47"/>
      <c r="I183" s="47" t="s">
        <v>298</v>
      </c>
      <c r="J183" s="45" t="str">
        <f>VLOOKUP(Table13232[[#This Row],[Track]],$C$836:$E$882,2,FALSE)</f>
        <v>Qld</v>
      </c>
      <c r="K183" s="49">
        <v>100</v>
      </c>
      <c r="L183" s="45" t="str">
        <f>IF(Table13232[[#This Row],[Fin]]&lt;&gt;"1st","",Table13232[[#This Row],[Div]]*Table13232[[#This Row],[Lev Bet]])</f>
        <v/>
      </c>
      <c r="M183" s="45">
        <f>IF(Table13232[[#This Row],[Lev Ret]]="",Table13232[[#This Row],[Lev Bet]]*-1,L183-K183)</f>
        <v>-100</v>
      </c>
      <c r="N183" s="135">
        <v>100</v>
      </c>
      <c r="O183" s="135" t="str">
        <f>IF(Table13232[[#This Row],[Fin]]&lt;&gt;"1st","",Table13232[[#This Row],[Div]]*Table13232[[#This Row],[Nat and Combo Bet]])</f>
        <v/>
      </c>
      <c r="P183" s="135">
        <f>IF(Table13232[[#This Row],[Lev Ret]]="",Table13232[[#This Row],[Nat and Combo Bet]]*-1,O183-N183)</f>
        <v>-100</v>
      </c>
      <c r="Q183" s="50">
        <f t="shared" si="6"/>
        <v>1</v>
      </c>
      <c r="R183" s="50">
        <f>IF(AND(Q182=2,Q183=1),"",IF(Q183=2,(N183+N184)/2,IF(Table13232[[#This Row],[Dual Listing]]=1,Table13232[[#This Row],[Nat and Combo Bet]],11)))</f>
        <v>100</v>
      </c>
      <c r="S183" s="50" t="str">
        <f t="shared" si="7"/>
        <v/>
      </c>
      <c r="T183" s="50">
        <f t="shared" si="8"/>
        <v>-100</v>
      </c>
      <c r="U183" s="50" t="str">
        <f>IF(Table13232[[#This Row],[Date]]&lt;$U$4,"","Live")</f>
        <v/>
      </c>
      <c r="V183" s="45" t="str">
        <f>TEXT(Table13232[[#This Row],[Date]],"DDD")</f>
        <v>Sat</v>
      </c>
      <c r="W183" s="45" t="str">
        <f>PROPER(TRIM(Table13232[[#This Row],[Horse]]))</f>
        <v>Track Tale</v>
      </c>
    </row>
    <row r="184" spans="1:23" x14ac:dyDescent="0.25">
      <c r="A184" s="43">
        <v>45738</v>
      </c>
      <c r="B184" s="44">
        <v>0.7270833333333333</v>
      </c>
      <c r="C184" s="44" t="s">
        <v>12</v>
      </c>
      <c r="D184" s="45">
        <v>8</v>
      </c>
      <c r="E184" s="45">
        <v>8</v>
      </c>
      <c r="F184" s="46" t="s">
        <v>132</v>
      </c>
      <c r="G184" s="46" t="s">
        <v>21</v>
      </c>
      <c r="H184" s="47">
        <v>2.2000000000000002</v>
      </c>
      <c r="I184" s="47" t="s">
        <v>298</v>
      </c>
      <c r="J184" s="45" t="str">
        <f>VLOOKUP(Table13232[[#This Row],[Track]],$C$836:$E$882,2,FALSE)</f>
        <v>Qld</v>
      </c>
      <c r="K184" s="49">
        <v>100</v>
      </c>
      <c r="L184" s="45">
        <f>IF(Table13232[[#This Row],[Fin]]&lt;&gt;"1st","",Table13232[[#This Row],[Div]]*Table13232[[#This Row],[Lev Bet]])</f>
        <v>220.00000000000003</v>
      </c>
      <c r="M184" s="45">
        <f>IF(Table13232[[#This Row],[Lev Ret]]="",Table13232[[#This Row],[Lev Bet]]*-1,L184-K184)</f>
        <v>120.00000000000003</v>
      </c>
      <c r="N184" s="135">
        <v>100</v>
      </c>
      <c r="O184" s="135">
        <f>IF(Table13232[[#This Row],[Fin]]&lt;&gt;"1st","",Table13232[[#This Row],[Div]]*Table13232[[#This Row],[Nat and Combo Bet]])</f>
        <v>220.00000000000003</v>
      </c>
      <c r="P184" s="135">
        <f>IF(Table13232[[#This Row],[Lev Ret]]="",Table13232[[#This Row],[Nat and Combo Bet]]*-1,O184-N184)</f>
        <v>120.00000000000003</v>
      </c>
      <c r="Q184" s="50">
        <f t="shared" si="6"/>
        <v>1</v>
      </c>
      <c r="R184" s="50">
        <f>IF(AND(Q183=2,Q184=1),"",IF(Q184=2,(N184+N185)/2,IF(Table13232[[#This Row],[Dual Listing]]=1,Table13232[[#This Row],[Nat and Combo Bet]],11)))</f>
        <v>100</v>
      </c>
      <c r="S184" s="50">
        <f t="shared" si="7"/>
        <v>220.00000000000003</v>
      </c>
      <c r="T184" s="50">
        <f t="shared" si="8"/>
        <v>120.00000000000003</v>
      </c>
      <c r="U184" s="50" t="str">
        <f>IF(Table13232[[#This Row],[Date]]&lt;$U$4,"","Live")</f>
        <v/>
      </c>
      <c r="V184" s="45" t="str">
        <f>TEXT(Table13232[[#This Row],[Date]],"DDD")</f>
        <v>Sat</v>
      </c>
      <c r="W184" s="45" t="str">
        <f>PROPER(TRIM(Table13232[[#This Row],[Horse]]))</f>
        <v>Ouroboros</v>
      </c>
    </row>
    <row r="185" spans="1:23" x14ac:dyDescent="0.25">
      <c r="A185" s="109">
        <v>45738</v>
      </c>
      <c r="B185" s="53">
        <v>0.73263888888888884</v>
      </c>
      <c r="C185" s="110" t="s">
        <v>36</v>
      </c>
      <c r="D185" s="111">
        <v>10</v>
      </c>
      <c r="E185" s="111">
        <v>8</v>
      </c>
      <c r="F185" s="112" t="s">
        <v>97</v>
      </c>
      <c r="G185" s="112"/>
      <c r="H185" s="113"/>
      <c r="I185" s="114" t="s">
        <v>297</v>
      </c>
      <c r="J185" s="45" t="str">
        <f>VLOOKUP(Table13232[[#This Row],[Track]],$C$836:$E$882,2,FALSE)</f>
        <v>Vic</v>
      </c>
      <c r="K185" s="55">
        <v>100</v>
      </c>
      <c r="L185" s="54" t="str">
        <f>IF(Table13232[[#This Row],[Fin]]&lt;&gt;"1st","",Table13232[[#This Row],[Div]]*Table13232[[#This Row],[Lev Bet]])</f>
        <v/>
      </c>
      <c r="M185" s="54">
        <f>IF(Table13232[[#This Row],[Lev Ret]]="",Table13232[[#This Row],[Lev Bet]]*-1,L185-K185)</f>
        <v>-100</v>
      </c>
      <c r="N185" s="135">
        <v>140</v>
      </c>
      <c r="O185" s="135" t="str">
        <f>IF(Table13232[[#This Row],[Fin]]&lt;&gt;"1st","",Table13232[[#This Row],[Div]]*Table13232[[#This Row],[Nat and Combo Bet]])</f>
        <v/>
      </c>
      <c r="P185" s="135">
        <f>IF(Table13232[[#This Row],[Lev Ret]]="",Table13232[[#This Row],[Nat and Combo Bet]]*-1,O185-N185)</f>
        <v>-140</v>
      </c>
      <c r="Q185" s="50">
        <f t="shared" si="6"/>
        <v>2</v>
      </c>
      <c r="R185" s="50">
        <f>IF(AND(Q184=2,Q185=1),"",IF(Q185=2,(N185+N186)/2,IF(Table13232[[#This Row],[Dual Listing]]=1,Table13232[[#This Row],[Nat and Combo Bet]],11)))</f>
        <v>120</v>
      </c>
      <c r="S185" s="50" t="str">
        <f t="shared" si="7"/>
        <v/>
      </c>
      <c r="T185" s="50">
        <f t="shared" si="8"/>
        <v>-120</v>
      </c>
      <c r="U185" s="50" t="str">
        <f>IF(Table13232[[#This Row],[Date]]&lt;$U$4,"","Live")</f>
        <v/>
      </c>
      <c r="V185" s="45" t="str">
        <f>TEXT(Table13232[[#This Row],[Date]],"DDD")</f>
        <v>Sat</v>
      </c>
      <c r="W185" s="45" t="str">
        <f>PROPER(TRIM(Table13232[[#This Row],[Horse]]))</f>
        <v>Scillato</v>
      </c>
    </row>
    <row r="186" spans="1:23" x14ac:dyDescent="0.25">
      <c r="A186" s="109">
        <v>45738</v>
      </c>
      <c r="B186" s="53">
        <v>0.73263888888888884</v>
      </c>
      <c r="C186" s="110" t="s">
        <v>36</v>
      </c>
      <c r="D186" s="111">
        <v>10</v>
      </c>
      <c r="E186" s="111">
        <v>8</v>
      </c>
      <c r="F186" s="112" t="s">
        <v>97</v>
      </c>
      <c r="G186" s="112"/>
      <c r="H186" s="113"/>
      <c r="I186" s="113" t="s">
        <v>298</v>
      </c>
      <c r="J186" s="45" t="str">
        <f>VLOOKUP(Table13232[[#This Row],[Track]],$C$836:$E$882,2,FALSE)</f>
        <v>Vic</v>
      </c>
      <c r="K186" s="55">
        <v>100</v>
      </c>
      <c r="L186" s="54" t="str">
        <f>IF(Table13232[[#This Row],[Fin]]&lt;&gt;"1st","",Table13232[[#This Row],[Div]]*Table13232[[#This Row],[Lev Bet]])</f>
        <v/>
      </c>
      <c r="M186" s="54">
        <f>IF(Table13232[[#This Row],[Lev Ret]]="",Table13232[[#This Row],[Lev Bet]]*-1,L186-K186)</f>
        <v>-100</v>
      </c>
      <c r="N186" s="135">
        <v>100</v>
      </c>
      <c r="O186" s="135" t="str">
        <f>IF(Table13232[[#This Row],[Fin]]&lt;&gt;"1st","",Table13232[[#This Row],[Div]]*Table13232[[#This Row],[Nat and Combo Bet]])</f>
        <v/>
      </c>
      <c r="P186" s="135">
        <f>IF(Table13232[[#This Row],[Lev Ret]]="",Table13232[[#This Row],[Nat and Combo Bet]]*-1,O186-N186)</f>
        <v>-100</v>
      </c>
      <c r="Q186" s="50">
        <f t="shared" si="6"/>
        <v>1</v>
      </c>
      <c r="R186" s="50" t="str">
        <f>IF(AND(Q185=2,Q186=1),"",IF(Q186=2,(N186+N187)/2,IF(Table13232[[#This Row],[Dual Listing]]=1,Table13232[[#This Row],[Nat and Combo Bet]],11)))</f>
        <v/>
      </c>
      <c r="S186" s="50" t="str">
        <f t="shared" si="7"/>
        <v/>
      </c>
      <c r="T186" s="50" t="str">
        <f t="shared" si="8"/>
        <v/>
      </c>
      <c r="U186" s="50" t="str">
        <f>IF(Table13232[[#This Row],[Date]]&lt;$U$4,"","Live")</f>
        <v/>
      </c>
      <c r="V186" s="45" t="str">
        <f>TEXT(Table13232[[#This Row],[Date]],"DDD")</f>
        <v>Sat</v>
      </c>
      <c r="W186" s="45" t="str">
        <f>PROPER(TRIM(Table13232[[#This Row],[Horse]]))</f>
        <v>Scillato</v>
      </c>
    </row>
    <row r="187" spans="1:23" x14ac:dyDescent="0.25">
      <c r="A187" s="43">
        <v>45738</v>
      </c>
      <c r="B187" s="44">
        <v>0.75347222222222221</v>
      </c>
      <c r="C187" s="44" t="s">
        <v>36</v>
      </c>
      <c r="D187" s="45">
        <v>11</v>
      </c>
      <c r="E187" s="45">
        <v>12</v>
      </c>
      <c r="F187" s="46" t="s">
        <v>133</v>
      </c>
      <c r="G187" s="46"/>
      <c r="H187" s="47"/>
      <c r="I187" s="47" t="s">
        <v>298</v>
      </c>
      <c r="J187" s="45" t="str">
        <f>VLOOKUP(Table13232[[#This Row],[Track]],$C$836:$E$882,2,FALSE)</f>
        <v>Vic</v>
      </c>
      <c r="K187" s="49">
        <v>100</v>
      </c>
      <c r="L187" s="45" t="str">
        <f>IF(Table13232[[#This Row],[Fin]]&lt;&gt;"1st","",Table13232[[#This Row],[Div]]*Table13232[[#This Row],[Lev Bet]])</f>
        <v/>
      </c>
      <c r="M187" s="45">
        <f>IF(Table13232[[#This Row],[Lev Ret]]="",Table13232[[#This Row],[Lev Bet]]*-1,L187-K187)</f>
        <v>-100</v>
      </c>
      <c r="N187" s="135">
        <v>100</v>
      </c>
      <c r="O187" s="135" t="str">
        <f>IF(Table13232[[#This Row],[Fin]]&lt;&gt;"1st","",Table13232[[#This Row],[Div]]*Table13232[[#This Row],[Nat and Combo Bet]])</f>
        <v/>
      </c>
      <c r="P187" s="135">
        <f>IF(Table13232[[#This Row],[Lev Ret]]="",Table13232[[#This Row],[Nat and Combo Bet]]*-1,O187-N187)</f>
        <v>-100</v>
      </c>
      <c r="Q187" s="50">
        <f t="shared" si="6"/>
        <v>1</v>
      </c>
      <c r="R187" s="50">
        <f>IF(AND(Q186=2,Q187=1),"",IF(Q187=2,(N187+N188)/2,IF(Table13232[[#This Row],[Dual Listing]]=1,Table13232[[#This Row],[Nat and Combo Bet]],11)))</f>
        <v>100</v>
      </c>
      <c r="S187" s="50" t="str">
        <f t="shared" si="7"/>
        <v/>
      </c>
      <c r="T187" s="50">
        <f t="shared" si="8"/>
        <v>-100</v>
      </c>
      <c r="U187" s="50" t="str">
        <f>IF(Table13232[[#This Row],[Date]]&lt;$U$4,"","Live")</f>
        <v/>
      </c>
      <c r="V187" s="45" t="str">
        <f>TEXT(Table13232[[#This Row],[Date]],"DDD")</f>
        <v>Sat</v>
      </c>
      <c r="W187" s="45" t="str">
        <f>PROPER(TRIM(Table13232[[#This Row],[Horse]]))</f>
        <v>Moby Dick</v>
      </c>
    </row>
    <row r="188" spans="1:23" x14ac:dyDescent="0.25">
      <c r="A188" s="43">
        <v>45738</v>
      </c>
      <c r="B188" s="44">
        <v>0.75347222222222221</v>
      </c>
      <c r="C188" s="44" t="s">
        <v>36</v>
      </c>
      <c r="D188" s="45">
        <v>11</v>
      </c>
      <c r="E188" s="45">
        <v>10</v>
      </c>
      <c r="F188" s="46" t="s">
        <v>112</v>
      </c>
      <c r="G188" s="46"/>
      <c r="H188" s="47"/>
      <c r="I188" s="52" t="s">
        <v>297</v>
      </c>
      <c r="J188" s="45" t="str">
        <f>VLOOKUP(Table13232[[#This Row],[Track]],$C$836:$E$882,2,FALSE)</f>
        <v>Vic</v>
      </c>
      <c r="K188" s="49">
        <v>100</v>
      </c>
      <c r="L188" s="45" t="str">
        <f>IF(Table13232[[#This Row],[Fin]]&lt;&gt;"1st","",Table13232[[#This Row],[Div]]*Table13232[[#This Row],[Lev Bet]])</f>
        <v/>
      </c>
      <c r="M188" s="45">
        <f>IF(Table13232[[#This Row],[Lev Ret]]="",Table13232[[#This Row],[Lev Bet]]*-1,L188-K188)</f>
        <v>-100</v>
      </c>
      <c r="N188" s="135">
        <v>100</v>
      </c>
      <c r="O188" s="135" t="str">
        <f>IF(Table13232[[#This Row],[Fin]]&lt;&gt;"1st","",Table13232[[#This Row],[Div]]*Table13232[[#This Row],[Nat and Combo Bet]])</f>
        <v/>
      </c>
      <c r="P188" s="135">
        <f>IF(Table13232[[#This Row],[Lev Ret]]="",Table13232[[#This Row],[Nat and Combo Bet]]*-1,O188-N188)</f>
        <v>-100</v>
      </c>
      <c r="Q188" s="50">
        <f t="shared" si="6"/>
        <v>1</v>
      </c>
      <c r="R188" s="50">
        <f>IF(AND(Q187=2,Q188=1),"",IF(Q188=2,(N188+N189)/2,IF(Table13232[[#This Row],[Dual Listing]]=1,Table13232[[#This Row],[Nat and Combo Bet]],11)))</f>
        <v>100</v>
      </c>
      <c r="S188" s="50" t="str">
        <f t="shared" si="7"/>
        <v/>
      </c>
      <c r="T188" s="50">
        <f t="shared" si="8"/>
        <v>-100</v>
      </c>
      <c r="U188" s="50" t="str">
        <f>IF(Table13232[[#This Row],[Date]]&lt;$U$4,"","Live")</f>
        <v/>
      </c>
      <c r="V188" s="45" t="str">
        <f>TEXT(Table13232[[#This Row],[Date]],"DDD")</f>
        <v>Sat</v>
      </c>
      <c r="W188" s="45" t="str">
        <f>PROPER(TRIM(Table13232[[#This Row],[Horse]]))</f>
        <v>Mytemptation</v>
      </c>
    </row>
    <row r="189" spans="1:23" x14ac:dyDescent="0.25">
      <c r="A189" s="43">
        <v>45738</v>
      </c>
      <c r="B189" s="44">
        <v>0.75694444444444442</v>
      </c>
      <c r="C189" s="44" t="s">
        <v>12</v>
      </c>
      <c r="D189" s="45">
        <v>9</v>
      </c>
      <c r="E189" s="45">
        <v>10</v>
      </c>
      <c r="F189" s="46" t="s">
        <v>134</v>
      </c>
      <c r="G189" s="46"/>
      <c r="H189" s="47"/>
      <c r="I189" s="47" t="s">
        <v>298</v>
      </c>
      <c r="J189" s="45" t="str">
        <f>VLOOKUP(Table13232[[#This Row],[Track]],$C$836:$E$882,2,FALSE)</f>
        <v>Qld</v>
      </c>
      <c r="K189" s="49">
        <v>100</v>
      </c>
      <c r="L189" s="45" t="str">
        <f>IF(Table13232[[#This Row],[Fin]]&lt;&gt;"1st","",Table13232[[#This Row],[Div]]*Table13232[[#This Row],[Lev Bet]])</f>
        <v/>
      </c>
      <c r="M189" s="45">
        <f>IF(Table13232[[#This Row],[Lev Ret]]="",Table13232[[#This Row],[Lev Bet]]*-1,L189-K189)</f>
        <v>-100</v>
      </c>
      <c r="N189" s="135">
        <v>100</v>
      </c>
      <c r="O189" s="135" t="str">
        <f>IF(Table13232[[#This Row],[Fin]]&lt;&gt;"1st","",Table13232[[#This Row],[Div]]*Table13232[[#This Row],[Nat and Combo Bet]])</f>
        <v/>
      </c>
      <c r="P189" s="135">
        <f>IF(Table13232[[#This Row],[Lev Ret]]="",Table13232[[#This Row],[Nat and Combo Bet]]*-1,O189-N189)</f>
        <v>-100</v>
      </c>
      <c r="Q189" s="50">
        <f t="shared" si="6"/>
        <v>1</v>
      </c>
      <c r="R189" s="50">
        <f>IF(AND(Q188=2,Q189=1),"",IF(Q189=2,(N189+N190)/2,IF(Table13232[[#This Row],[Dual Listing]]=1,Table13232[[#This Row],[Nat and Combo Bet]],11)))</f>
        <v>100</v>
      </c>
      <c r="S189" s="50" t="str">
        <f t="shared" si="7"/>
        <v/>
      </c>
      <c r="T189" s="50">
        <f t="shared" si="8"/>
        <v>-100</v>
      </c>
      <c r="U189" s="50" t="str">
        <f>IF(Table13232[[#This Row],[Date]]&lt;$U$4,"","Live")</f>
        <v/>
      </c>
      <c r="V189" s="45" t="str">
        <f>TEXT(Table13232[[#This Row],[Date]],"DDD")</f>
        <v>Sat</v>
      </c>
      <c r="W189" s="45" t="str">
        <f>PROPER(TRIM(Table13232[[#This Row],[Horse]]))</f>
        <v>Keitel</v>
      </c>
    </row>
    <row r="190" spans="1:23" x14ac:dyDescent="0.25">
      <c r="A190" s="43">
        <v>45745</v>
      </c>
      <c r="B190" s="44">
        <v>0.51041666666666663</v>
      </c>
      <c r="C190" s="44" t="s">
        <v>10</v>
      </c>
      <c r="D190" s="45">
        <v>1</v>
      </c>
      <c r="E190" s="45">
        <v>1</v>
      </c>
      <c r="F190" s="46" t="s">
        <v>72</v>
      </c>
      <c r="G190" s="46" t="s">
        <v>21</v>
      </c>
      <c r="H190" s="47">
        <v>5</v>
      </c>
      <c r="I190" s="52" t="s">
        <v>297</v>
      </c>
      <c r="J190" s="45" t="str">
        <f>VLOOKUP(Table13232[[#This Row],[Track]],$C$836:$E$882,2,FALSE)</f>
        <v>Vic</v>
      </c>
      <c r="K190" s="49">
        <v>100</v>
      </c>
      <c r="L190" s="45">
        <f>IF(Table13232[[#This Row],[Fin]]&lt;&gt;"1st","",Table13232[[#This Row],[Div]]*Table13232[[#This Row],[Lev Bet]])</f>
        <v>500</v>
      </c>
      <c r="M190" s="45">
        <f>IF(Table13232[[#This Row],[Lev Ret]]="",Table13232[[#This Row],[Lev Bet]]*-1,L190-K190)</f>
        <v>400</v>
      </c>
      <c r="N190" s="135">
        <v>100</v>
      </c>
      <c r="O190" s="135">
        <f>IF(Table13232[[#This Row],[Fin]]&lt;&gt;"1st","",Table13232[[#This Row],[Div]]*Table13232[[#This Row],[Nat and Combo Bet]])</f>
        <v>500</v>
      </c>
      <c r="P190" s="135">
        <f>IF(Table13232[[#This Row],[Lev Ret]]="",Table13232[[#This Row],[Nat and Combo Bet]]*-1,O190-N190)</f>
        <v>400</v>
      </c>
      <c r="Q190" s="50">
        <f t="shared" si="6"/>
        <v>1</v>
      </c>
      <c r="R190" s="50">
        <f>IF(AND(Q189=2,Q190=1),"",IF(Q190=2,(N190+N191)/2,IF(Table13232[[#This Row],[Dual Listing]]=1,Table13232[[#This Row],[Nat and Combo Bet]],11)))</f>
        <v>100</v>
      </c>
      <c r="S190" s="50">
        <f t="shared" si="7"/>
        <v>500</v>
      </c>
      <c r="T190" s="50">
        <f t="shared" si="8"/>
        <v>400</v>
      </c>
      <c r="U190" s="50" t="str">
        <f>IF(Table13232[[#This Row],[Date]]&lt;$U$4,"","Live")</f>
        <v/>
      </c>
      <c r="V190" s="45" t="str">
        <f>TEXT(Table13232[[#This Row],[Date]],"DDD")</f>
        <v>Sat</v>
      </c>
      <c r="W190" s="45" t="str">
        <f>PROPER(TRIM(Table13232[[#This Row],[Horse]]))</f>
        <v>A Little Deep</v>
      </c>
    </row>
    <row r="191" spans="1:23" x14ac:dyDescent="0.25">
      <c r="A191" s="43">
        <v>45745</v>
      </c>
      <c r="B191" s="44">
        <v>0.51041666666666663</v>
      </c>
      <c r="C191" s="44" t="s">
        <v>10</v>
      </c>
      <c r="D191" s="45">
        <v>1</v>
      </c>
      <c r="E191" s="45">
        <v>2</v>
      </c>
      <c r="F191" s="46" t="s">
        <v>387</v>
      </c>
      <c r="G191" s="46" t="s">
        <v>22</v>
      </c>
      <c r="H191" s="47"/>
      <c r="I191" s="52" t="s">
        <v>297</v>
      </c>
      <c r="J191" s="45" t="str">
        <f>VLOOKUP(Table13232[[#This Row],[Track]],$C$836:$E$882,2,FALSE)</f>
        <v>Vic</v>
      </c>
      <c r="K191" s="49">
        <v>100</v>
      </c>
      <c r="L191" s="45" t="str">
        <f>IF(Table13232[[#This Row],[Fin]]&lt;&gt;"1st","",Table13232[[#This Row],[Div]]*Table13232[[#This Row],[Lev Bet]])</f>
        <v/>
      </c>
      <c r="M191" s="45">
        <f>IF(Table13232[[#This Row],[Lev Ret]]="",Table13232[[#This Row],[Lev Bet]]*-1,L191-K191)</f>
        <v>-100</v>
      </c>
      <c r="N191" s="135">
        <v>150</v>
      </c>
      <c r="O191" s="135" t="str">
        <f>IF(Table13232[[#This Row],[Fin]]&lt;&gt;"1st","",Table13232[[#This Row],[Div]]*Table13232[[#This Row],[Nat and Combo Bet]])</f>
        <v/>
      </c>
      <c r="P191" s="135">
        <f>IF(Table13232[[#This Row],[Lev Ret]]="",Table13232[[#This Row],[Nat and Combo Bet]]*-1,O191-N191)</f>
        <v>-150</v>
      </c>
      <c r="Q191" s="50">
        <f t="shared" si="6"/>
        <v>1</v>
      </c>
      <c r="R191" s="50">
        <f>IF(AND(Q190=2,Q191=1),"",IF(Q191=2,(N191+N192)/2,IF(Table13232[[#This Row],[Dual Listing]]=1,Table13232[[#This Row],[Nat and Combo Bet]],11)))</f>
        <v>150</v>
      </c>
      <c r="S191" s="50" t="str">
        <f t="shared" si="7"/>
        <v/>
      </c>
      <c r="T191" s="50">
        <f t="shared" si="8"/>
        <v>-150</v>
      </c>
      <c r="U191" s="50" t="str">
        <f>IF(Table13232[[#This Row],[Date]]&lt;$U$4,"","Live")</f>
        <v/>
      </c>
      <c r="V191" s="45" t="str">
        <f>TEXT(Table13232[[#This Row],[Date]],"DDD")</f>
        <v>Sat</v>
      </c>
      <c r="W191" s="45" t="str">
        <f>PROPER(TRIM(Table13232[[#This Row],[Horse]]))</f>
        <v>Bossy Nic</v>
      </c>
    </row>
    <row r="192" spans="1:23" x14ac:dyDescent="0.25">
      <c r="A192" s="43">
        <v>45745</v>
      </c>
      <c r="B192" s="44">
        <v>0.51041666666666663</v>
      </c>
      <c r="C192" s="44" t="s">
        <v>10</v>
      </c>
      <c r="D192" s="45">
        <v>1</v>
      </c>
      <c r="E192" s="45">
        <v>5</v>
      </c>
      <c r="F192" s="46" t="s">
        <v>137</v>
      </c>
      <c r="G192" s="46"/>
      <c r="H192" s="47"/>
      <c r="I192" s="47" t="s">
        <v>298</v>
      </c>
      <c r="J192" s="45" t="str">
        <f>VLOOKUP(Table13232[[#This Row],[Track]],$C$836:$E$882,2,FALSE)</f>
        <v>Vic</v>
      </c>
      <c r="K192" s="49">
        <v>100</v>
      </c>
      <c r="L192" s="45" t="str">
        <f>IF(Table13232[[#This Row],[Fin]]&lt;&gt;"1st","",Table13232[[#This Row],[Div]]*Table13232[[#This Row],[Lev Bet]])</f>
        <v/>
      </c>
      <c r="M192" s="45">
        <f>IF(Table13232[[#This Row],[Lev Ret]]="",Table13232[[#This Row],[Lev Bet]]*-1,L192-K192)</f>
        <v>-100</v>
      </c>
      <c r="N192" s="135">
        <v>100</v>
      </c>
      <c r="O192" s="135" t="str">
        <f>IF(Table13232[[#This Row],[Fin]]&lt;&gt;"1st","",Table13232[[#This Row],[Div]]*Table13232[[#This Row],[Nat and Combo Bet]])</f>
        <v/>
      </c>
      <c r="P192" s="135">
        <f>IF(Table13232[[#This Row],[Lev Ret]]="",Table13232[[#This Row],[Nat and Combo Bet]]*-1,O192-N192)</f>
        <v>-100</v>
      </c>
      <c r="Q192" s="50">
        <f t="shared" si="6"/>
        <v>1</v>
      </c>
      <c r="R192" s="50">
        <f>IF(AND(Q191=2,Q192=1),"",IF(Q192=2,(N192+N193)/2,IF(Table13232[[#This Row],[Dual Listing]]=1,Table13232[[#This Row],[Nat and Combo Bet]],11)))</f>
        <v>100</v>
      </c>
      <c r="S192" s="50" t="str">
        <f t="shared" si="7"/>
        <v/>
      </c>
      <c r="T192" s="50">
        <f t="shared" si="8"/>
        <v>-100</v>
      </c>
      <c r="U192" s="50" t="str">
        <f>IF(Table13232[[#This Row],[Date]]&lt;$U$4,"","Live")</f>
        <v/>
      </c>
      <c r="V192" s="45" t="str">
        <f>TEXT(Table13232[[#This Row],[Date]],"DDD")</f>
        <v>Sat</v>
      </c>
      <c r="W192" s="45" t="str">
        <f>PROPER(TRIM(Table13232[[#This Row],[Horse]]))</f>
        <v>Material Dreams</v>
      </c>
    </row>
    <row r="193" spans="1:23" x14ac:dyDescent="0.25">
      <c r="A193" s="109">
        <v>45745</v>
      </c>
      <c r="B193" s="53">
        <v>0.57986111111111116</v>
      </c>
      <c r="C193" s="110" t="s">
        <v>10</v>
      </c>
      <c r="D193" s="111">
        <v>4</v>
      </c>
      <c r="E193" s="111">
        <v>1</v>
      </c>
      <c r="F193" s="112" t="s">
        <v>138</v>
      </c>
      <c r="G193" s="112" t="s">
        <v>476</v>
      </c>
      <c r="H193" s="113"/>
      <c r="I193" s="114" t="s">
        <v>297</v>
      </c>
      <c r="J193" s="45" t="str">
        <f>VLOOKUP(Table13232[[#This Row],[Track]],$C$836:$E$882,2,FALSE)</f>
        <v>Vic</v>
      </c>
      <c r="K193" s="55">
        <v>100</v>
      </c>
      <c r="L193" s="54" t="str">
        <f>IF(Table13232[[#This Row],[Fin]]&lt;&gt;"1st","",Table13232[[#This Row],[Div]]*Table13232[[#This Row],[Lev Bet]])</f>
        <v/>
      </c>
      <c r="M193" s="54">
        <f>IF(Table13232[[#This Row],[Lev Ret]]="",Table13232[[#This Row],[Lev Bet]]*-1,L193-K193)</f>
        <v>-100</v>
      </c>
      <c r="N193" s="135">
        <v>50</v>
      </c>
      <c r="O193" s="135" t="str">
        <f>IF(Table13232[[#This Row],[Fin]]&lt;&gt;"1st","",Table13232[[#This Row],[Div]]*Table13232[[#This Row],[Nat and Combo Bet]])</f>
        <v/>
      </c>
      <c r="P193" s="135">
        <f>IF(Table13232[[#This Row],[Lev Ret]]="",Table13232[[#This Row],[Nat and Combo Bet]]*-1,O193-N193)</f>
        <v>-50</v>
      </c>
      <c r="Q193" s="50">
        <f t="shared" si="6"/>
        <v>2</v>
      </c>
      <c r="R193" s="50">
        <f>IF(AND(Q192=2,Q193=1),"",IF(Q193=2,(N193+N194)/2,IF(Table13232[[#This Row],[Dual Listing]]=1,Table13232[[#This Row],[Nat and Combo Bet]],11)))</f>
        <v>75</v>
      </c>
      <c r="S193" s="50" t="str">
        <f t="shared" si="7"/>
        <v/>
      </c>
      <c r="T193" s="50">
        <f t="shared" si="8"/>
        <v>-75</v>
      </c>
      <c r="U193" s="50" t="str">
        <f>IF(Table13232[[#This Row],[Date]]&lt;$U$4,"","Live")</f>
        <v/>
      </c>
      <c r="V193" s="45" t="str">
        <f>TEXT(Table13232[[#This Row],[Date]],"DDD")</f>
        <v>Sat</v>
      </c>
      <c r="W193" s="45" t="str">
        <f>PROPER(TRIM(Table13232[[#This Row],[Horse]]))</f>
        <v>Ndola</v>
      </c>
    </row>
    <row r="194" spans="1:23" x14ac:dyDescent="0.25">
      <c r="A194" s="109">
        <v>45745</v>
      </c>
      <c r="B194" s="53">
        <v>0.57986111111111116</v>
      </c>
      <c r="C194" s="110" t="s">
        <v>10</v>
      </c>
      <c r="D194" s="111">
        <v>4</v>
      </c>
      <c r="E194" s="111">
        <v>1</v>
      </c>
      <c r="F194" s="112" t="s">
        <v>138</v>
      </c>
      <c r="G194" s="112" t="s">
        <v>22</v>
      </c>
      <c r="H194" s="113"/>
      <c r="I194" s="113" t="s">
        <v>298</v>
      </c>
      <c r="J194" s="45" t="str">
        <f>VLOOKUP(Table13232[[#This Row],[Track]],$C$836:$E$882,2,FALSE)</f>
        <v>Vic</v>
      </c>
      <c r="K194" s="55">
        <v>100</v>
      </c>
      <c r="L194" s="54" t="str">
        <f>IF(Table13232[[#This Row],[Fin]]&lt;&gt;"1st","",Table13232[[#This Row],[Div]]*Table13232[[#This Row],[Lev Bet]])</f>
        <v/>
      </c>
      <c r="M194" s="54">
        <f>IF(Table13232[[#This Row],[Lev Ret]]="",Table13232[[#This Row],[Lev Bet]]*-1,L194-K194)</f>
        <v>-100</v>
      </c>
      <c r="N194" s="135">
        <v>100</v>
      </c>
      <c r="O194" s="135" t="str">
        <f>IF(Table13232[[#This Row],[Fin]]&lt;&gt;"1st","",Table13232[[#This Row],[Div]]*Table13232[[#This Row],[Nat and Combo Bet]])</f>
        <v/>
      </c>
      <c r="P194" s="135">
        <f>IF(Table13232[[#This Row],[Lev Ret]]="",Table13232[[#This Row],[Nat and Combo Bet]]*-1,O194-N194)</f>
        <v>-100</v>
      </c>
      <c r="Q194" s="50">
        <f t="shared" si="6"/>
        <v>1</v>
      </c>
      <c r="R194" s="50" t="str">
        <f>IF(AND(Q193=2,Q194=1),"",IF(Q194=2,(N194+N195)/2,IF(Table13232[[#This Row],[Dual Listing]]=1,Table13232[[#This Row],[Nat and Combo Bet]],11)))</f>
        <v/>
      </c>
      <c r="S194" s="50" t="str">
        <f t="shared" si="7"/>
        <v/>
      </c>
      <c r="T194" s="50" t="str">
        <f t="shared" si="8"/>
        <v/>
      </c>
      <c r="U194" s="50" t="str">
        <f>IF(Table13232[[#This Row],[Date]]&lt;$U$4,"","Live")</f>
        <v/>
      </c>
      <c r="V194" s="45" t="str">
        <f>TEXT(Table13232[[#This Row],[Date]],"DDD")</f>
        <v>Sat</v>
      </c>
      <c r="W194" s="45" t="str">
        <f>PROPER(TRIM(Table13232[[#This Row],[Horse]]))</f>
        <v>Ndola</v>
      </c>
    </row>
    <row r="195" spans="1:23" x14ac:dyDescent="0.25">
      <c r="A195" s="43">
        <v>45745</v>
      </c>
      <c r="B195" s="44">
        <v>0.60416666666666663</v>
      </c>
      <c r="C195" s="44" t="s">
        <v>10</v>
      </c>
      <c r="D195" s="45">
        <v>5</v>
      </c>
      <c r="E195" s="45">
        <v>11</v>
      </c>
      <c r="F195" s="46" t="s">
        <v>166</v>
      </c>
      <c r="G195" s="46"/>
      <c r="H195" s="47"/>
      <c r="I195" s="52" t="s">
        <v>297</v>
      </c>
      <c r="J195" s="45" t="str">
        <f>VLOOKUP(Table13232[[#This Row],[Track]],$C$836:$E$882,2,FALSE)</f>
        <v>Vic</v>
      </c>
      <c r="K195" s="49">
        <v>100</v>
      </c>
      <c r="L195" s="45" t="str">
        <f>IF(Table13232[[#This Row],[Fin]]&lt;&gt;"1st","",Table13232[[#This Row],[Div]]*Table13232[[#This Row],[Lev Bet]])</f>
        <v/>
      </c>
      <c r="M195" s="45">
        <f>IF(Table13232[[#This Row],[Lev Ret]]="",Table13232[[#This Row],[Lev Bet]]*-1,L195-K195)</f>
        <v>-100</v>
      </c>
      <c r="N195" s="135">
        <v>150</v>
      </c>
      <c r="O195" s="135" t="str">
        <f>IF(Table13232[[#This Row],[Fin]]&lt;&gt;"1st","",Table13232[[#This Row],[Div]]*Table13232[[#This Row],[Nat and Combo Bet]])</f>
        <v/>
      </c>
      <c r="P195" s="135">
        <f>IF(Table13232[[#This Row],[Lev Ret]]="",Table13232[[#This Row],[Nat and Combo Bet]]*-1,O195-N195)</f>
        <v>-150</v>
      </c>
      <c r="Q195" s="50">
        <f t="shared" si="6"/>
        <v>1</v>
      </c>
      <c r="R195" s="50">
        <f>IF(AND(Q194=2,Q195=1),"",IF(Q195=2,(N195+N196)/2,IF(Table13232[[#This Row],[Dual Listing]]=1,Table13232[[#This Row],[Nat and Combo Bet]],11)))</f>
        <v>150</v>
      </c>
      <c r="S195" s="50" t="str">
        <f t="shared" si="7"/>
        <v/>
      </c>
      <c r="T195" s="50">
        <f t="shared" si="8"/>
        <v>-150</v>
      </c>
      <c r="U195" s="50" t="str">
        <f>IF(Table13232[[#This Row],[Date]]&lt;$U$4,"","Live")</f>
        <v/>
      </c>
      <c r="V195" s="45" t="str">
        <f>TEXT(Table13232[[#This Row],[Date]],"DDD")</f>
        <v>Sat</v>
      </c>
      <c r="W195" s="45" t="str">
        <f>PROPER(TRIM(Table13232[[#This Row],[Horse]]))</f>
        <v>Hellsing</v>
      </c>
    </row>
    <row r="196" spans="1:23" x14ac:dyDescent="0.25">
      <c r="A196" s="43">
        <v>45745</v>
      </c>
      <c r="B196" s="44">
        <v>0.62847222222222221</v>
      </c>
      <c r="C196" s="44" t="s">
        <v>10</v>
      </c>
      <c r="D196" s="45">
        <v>6</v>
      </c>
      <c r="E196" s="45">
        <v>1</v>
      </c>
      <c r="F196" s="46" t="s">
        <v>399</v>
      </c>
      <c r="G196" s="46"/>
      <c r="H196" s="47"/>
      <c r="I196" s="52" t="s">
        <v>297</v>
      </c>
      <c r="J196" s="45" t="str">
        <f>VLOOKUP(Table13232[[#This Row],[Track]],$C$836:$E$882,2,FALSE)</f>
        <v>Vic</v>
      </c>
      <c r="K196" s="49">
        <v>100</v>
      </c>
      <c r="L196" s="45" t="str">
        <f>IF(Table13232[[#This Row],[Fin]]&lt;&gt;"1st","",Table13232[[#This Row],[Div]]*Table13232[[#This Row],[Lev Bet]])</f>
        <v/>
      </c>
      <c r="M196" s="45">
        <f>IF(Table13232[[#This Row],[Lev Ret]]="",Table13232[[#This Row],[Lev Bet]]*-1,L196-K196)</f>
        <v>-100</v>
      </c>
      <c r="N196" s="135">
        <v>150</v>
      </c>
      <c r="O196" s="135" t="str">
        <f>IF(Table13232[[#This Row],[Fin]]&lt;&gt;"1st","",Table13232[[#This Row],[Div]]*Table13232[[#This Row],[Nat and Combo Bet]])</f>
        <v/>
      </c>
      <c r="P196" s="135">
        <f>IF(Table13232[[#This Row],[Lev Ret]]="",Table13232[[#This Row],[Nat and Combo Bet]]*-1,O196-N196)</f>
        <v>-150</v>
      </c>
      <c r="Q196" s="50">
        <f t="shared" si="6"/>
        <v>1</v>
      </c>
      <c r="R196" s="50">
        <f>IF(AND(Q195=2,Q196=1),"",IF(Q196=2,(N196+N197)/2,IF(Table13232[[#This Row],[Dual Listing]]=1,Table13232[[#This Row],[Nat and Combo Bet]],11)))</f>
        <v>150</v>
      </c>
      <c r="S196" s="50" t="str">
        <f t="shared" si="7"/>
        <v/>
      </c>
      <c r="T196" s="50">
        <f t="shared" si="8"/>
        <v>-150</v>
      </c>
      <c r="U196" s="50" t="str">
        <f>IF(Table13232[[#This Row],[Date]]&lt;$U$4,"","Live")</f>
        <v/>
      </c>
      <c r="V196" s="45" t="str">
        <f>TEXT(Table13232[[#This Row],[Date]],"DDD")</f>
        <v>Sat</v>
      </c>
      <c r="W196" s="45" t="str">
        <f>PROPER(TRIM(Table13232[[#This Row],[Horse]]))</f>
        <v>Oscar'S Fortune</v>
      </c>
    </row>
    <row r="197" spans="1:23" x14ac:dyDescent="0.25">
      <c r="A197" s="43">
        <v>45745</v>
      </c>
      <c r="B197" s="44">
        <v>0.67708333333333337</v>
      </c>
      <c r="C197" s="44" t="s">
        <v>10</v>
      </c>
      <c r="D197" s="45">
        <v>8</v>
      </c>
      <c r="E197" s="45">
        <v>6</v>
      </c>
      <c r="F197" s="46" t="s">
        <v>161</v>
      </c>
      <c r="G197" s="46"/>
      <c r="H197" s="47"/>
      <c r="I197" s="52" t="s">
        <v>297</v>
      </c>
      <c r="J197" s="45" t="str">
        <f>VLOOKUP(Table13232[[#This Row],[Track]],$C$836:$E$882,2,FALSE)</f>
        <v>Vic</v>
      </c>
      <c r="K197" s="49">
        <v>100</v>
      </c>
      <c r="L197" s="45" t="str">
        <f>IF(Table13232[[#This Row],[Fin]]&lt;&gt;"1st","",Table13232[[#This Row],[Div]]*Table13232[[#This Row],[Lev Bet]])</f>
        <v/>
      </c>
      <c r="M197" s="45">
        <f>IF(Table13232[[#This Row],[Lev Ret]]="",Table13232[[#This Row],[Lev Bet]]*-1,L197-K197)</f>
        <v>-100</v>
      </c>
      <c r="N197" s="135">
        <v>150</v>
      </c>
      <c r="O197" s="135" t="str">
        <f>IF(Table13232[[#This Row],[Fin]]&lt;&gt;"1st","",Table13232[[#This Row],[Div]]*Table13232[[#This Row],[Nat and Combo Bet]])</f>
        <v/>
      </c>
      <c r="P197" s="135">
        <f>IF(Table13232[[#This Row],[Lev Ret]]="",Table13232[[#This Row],[Nat and Combo Bet]]*-1,O197-N197)</f>
        <v>-150</v>
      </c>
      <c r="Q197" s="50">
        <f t="shared" si="6"/>
        <v>1</v>
      </c>
      <c r="R197" s="50">
        <f>IF(AND(Q196=2,Q197=1),"",IF(Q197=2,(N197+N198)/2,IF(Table13232[[#This Row],[Dual Listing]]=1,Table13232[[#This Row],[Nat and Combo Bet]],11)))</f>
        <v>150</v>
      </c>
      <c r="S197" s="50" t="str">
        <f t="shared" si="7"/>
        <v/>
      </c>
      <c r="T197" s="50">
        <f t="shared" si="8"/>
        <v>-150</v>
      </c>
      <c r="U197" s="50" t="str">
        <f>IF(Table13232[[#This Row],[Date]]&lt;$U$4,"","Live")</f>
        <v/>
      </c>
      <c r="V197" s="45" t="str">
        <f>TEXT(Table13232[[#This Row],[Date]],"DDD")</f>
        <v>Sat</v>
      </c>
      <c r="W197" s="45" t="str">
        <f>PROPER(TRIM(Table13232[[#This Row],[Horse]]))</f>
        <v>Pride Of Jenni</v>
      </c>
    </row>
    <row r="198" spans="1:23" x14ac:dyDescent="0.25">
      <c r="A198" s="43">
        <v>45745</v>
      </c>
      <c r="B198" s="44">
        <v>0.70486111111111116</v>
      </c>
      <c r="C198" s="44" t="s">
        <v>10</v>
      </c>
      <c r="D198" s="45">
        <v>9</v>
      </c>
      <c r="E198" s="45">
        <v>3</v>
      </c>
      <c r="F198" s="46" t="s">
        <v>139</v>
      </c>
      <c r="G198" s="46" t="s">
        <v>21</v>
      </c>
      <c r="H198" s="47">
        <v>1.9</v>
      </c>
      <c r="I198" s="52" t="s">
        <v>297</v>
      </c>
      <c r="J198" s="45" t="str">
        <f>VLOOKUP(Table13232[[#This Row],[Track]],$C$836:$E$882,2,FALSE)</f>
        <v>Vic</v>
      </c>
      <c r="K198" s="49">
        <v>100</v>
      </c>
      <c r="L198" s="45">
        <f>IF(Table13232[[#This Row],[Fin]]&lt;&gt;"1st","",Table13232[[#This Row],[Div]]*Table13232[[#This Row],[Lev Bet]])</f>
        <v>190</v>
      </c>
      <c r="M198" s="45">
        <f>IF(Table13232[[#This Row],[Lev Ret]]="",Table13232[[#This Row],[Lev Bet]]*-1,L198-K198)</f>
        <v>90</v>
      </c>
      <c r="N198" s="135">
        <v>200</v>
      </c>
      <c r="O198" s="135">
        <f>IF(Table13232[[#This Row],[Fin]]&lt;&gt;"1st","",Table13232[[#This Row],[Div]]*Table13232[[#This Row],[Nat and Combo Bet]])</f>
        <v>380</v>
      </c>
      <c r="P198" s="135">
        <f>IF(Table13232[[#This Row],[Lev Ret]]="",Table13232[[#This Row],[Nat and Combo Bet]]*-1,O198-N198)</f>
        <v>180</v>
      </c>
      <c r="Q198" s="50">
        <f t="shared" si="6"/>
        <v>1</v>
      </c>
      <c r="R198" s="50">
        <f>IF(AND(Q197=2,Q198=1),"",IF(Q198=2,(N198+N199)/2,IF(Table13232[[#This Row],[Dual Listing]]=1,Table13232[[#This Row],[Nat and Combo Bet]],11)))</f>
        <v>200</v>
      </c>
      <c r="S198" s="50">
        <f t="shared" si="7"/>
        <v>380</v>
      </c>
      <c r="T198" s="50">
        <f t="shared" si="8"/>
        <v>180</v>
      </c>
      <c r="U198" s="50" t="str">
        <f>IF(Table13232[[#This Row],[Date]]&lt;$U$4,"","Live")</f>
        <v/>
      </c>
      <c r="V198" s="45" t="str">
        <f>TEXT(Table13232[[#This Row],[Date]],"DDD")</f>
        <v>Sat</v>
      </c>
      <c r="W198" s="45" t="str">
        <f>PROPER(TRIM(Table13232[[#This Row],[Horse]]))</f>
        <v>Deakin</v>
      </c>
    </row>
    <row r="199" spans="1:23" x14ac:dyDescent="0.25">
      <c r="A199" s="109">
        <v>45752</v>
      </c>
      <c r="B199" s="53">
        <v>0.55208333333333337</v>
      </c>
      <c r="C199" s="110" t="s">
        <v>34</v>
      </c>
      <c r="D199" s="111">
        <v>3</v>
      </c>
      <c r="E199" s="111">
        <v>13</v>
      </c>
      <c r="F199" s="112" t="s">
        <v>109</v>
      </c>
      <c r="G199" s="112" t="s">
        <v>22</v>
      </c>
      <c r="H199" s="113"/>
      <c r="I199" s="114" t="s">
        <v>297</v>
      </c>
      <c r="J199" s="45" t="str">
        <f>VLOOKUP(Table13232[[#This Row],[Track]],$C$836:$E$882,2,FALSE)</f>
        <v>Vic</v>
      </c>
      <c r="K199" s="55">
        <v>100</v>
      </c>
      <c r="L199" s="54" t="str">
        <f>IF(Table13232[[#This Row],[Fin]]&lt;&gt;"1st","",Table13232[[#This Row],[Div]]*Table13232[[#This Row],[Lev Bet]])</f>
        <v/>
      </c>
      <c r="M199" s="54">
        <f>IF(Table13232[[#This Row],[Lev Ret]]="",Table13232[[#This Row],[Lev Bet]]*-1,L199-K199)</f>
        <v>-100</v>
      </c>
      <c r="N199" s="135">
        <v>200</v>
      </c>
      <c r="O199" s="135" t="str">
        <f>IF(Table13232[[#This Row],[Fin]]&lt;&gt;"1st","",Table13232[[#This Row],[Div]]*Table13232[[#This Row],[Nat and Combo Bet]])</f>
        <v/>
      </c>
      <c r="P199" s="135">
        <f>IF(Table13232[[#This Row],[Lev Ret]]="",Table13232[[#This Row],[Nat and Combo Bet]]*-1,O199-N199)</f>
        <v>-200</v>
      </c>
      <c r="Q199" s="50">
        <f t="shared" ref="Q199:Q262" si="9">IF(AND(A200=A199,F200=F199),2,1)</f>
        <v>2</v>
      </c>
      <c r="R199" s="50">
        <f>IF(AND(Q198=2,Q199=1),"",IF(Q199=2,(N199+N200)/2,IF(Table13232[[#This Row],[Dual Listing]]=1,Table13232[[#This Row],[Nat and Combo Bet]],11)))</f>
        <v>200</v>
      </c>
      <c r="S199" s="50" t="str">
        <f t="shared" ref="S199:S262" si="10">IF(R199="","",IF(O199="","",R199*H199))</f>
        <v/>
      </c>
      <c r="T199" s="50">
        <f t="shared" ref="T199:T262" si="11">IF(R199="","",IF(S199="",R199*-1,S199-R199))</f>
        <v>-200</v>
      </c>
      <c r="U199" s="50" t="str">
        <f>IF(Table13232[[#This Row],[Date]]&lt;$U$4,"","Live")</f>
        <v/>
      </c>
      <c r="V199" s="45" t="str">
        <f>TEXT(Table13232[[#This Row],[Date]],"DDD")</f>
        <v>Sat</v>
      </c>
      <c r="W199" s="45" t="str">
        <f>PROPER(TRIM(Table13232[[#This Row],[Horse]]))</f>
        <v>Just Glamourous</v>
      </c>
    </row>
    <row r="200" spans="1:23" x14ac:dyDescent="0.25">
      <c r="A200" s="109">
        <v>45752</v>
      </c>
      <c r="B200" s="53">
        <v>0.55208333333333337</v>
      </c>
      <c r="C200" s="110" t="s">
        <v>34</v>
      </c>
      <c r="D200" s="111">
        <v>3</v>
      </c>
      <c r="E200" s="111">
        <v>13</v>
      </c>
      <c r="F200" s="112" t="s">
        <v>109</v>
      </c>
      <c r="G200" s="112" t="s">
        <v>22</v>
      </c>
      <c r="H200" s="113"/>
      <c r="I200" s="113" t="s">
        <v>298</v>
      </c>
      <c r="J200" s="45" t="str">
        <f>VLOOKUP(Table13232[[#This Row],[Track]],$C$836:$E$882,2,FALSE)</f>
        <v>Vic</v>
      </c>
      <c r="K200" s="55">
        <v>100</v>
      </c>
      <c r="L200" s="54" t="str">
        <f>IF(Table13232[[#This Row],[Fin]]&lt;&gt;"1st","",Table13232[[#This Row],[Div]]*Table13232[[#This Row],[Lev Bet]])</f>
        <v/>
      </c>
      <c r="M200" s="54">
        <f>IF(Table13232[[#This Row],[Lev Ret]]="",Table13232[[#This Row],[Lev Bet]]*-1,L200-K200)</f>
        <v>-100</v>
      </c>
      <c r="N200" s="135">
        <v>200</v>
      </c>
      <c r="O200" s="135" t="str">
        <f>IF(Table13232[[#This Row],[Fin]]&lt;&gt;"1st","",Table13232[[#This Row],[Div]]*Table13232[[#This Row],[Nat and Combo Bet]])</f>
        <v/>
      </c>
      <c r="P200" s="135">
        <f>IF(Table13232[[#This Row],[Lev Ret]]="",Table13232[[#This Row],[Nat and Combo Bet]]*-1,O200-N200)</f>
        <v>-200</v>
      </c>
      <c r="Q200" s="50">
        <f t="shared" si="9"/>
        <v>1</v>
      </c>
      <c r="R200" s="50" t="str">
        <f>IF(AND(Q199=2,Q200=1),"",IF(Q200=2,(N200+N201)/2,IF(Table13232[[#This Row],[Dual Listing]]=1,Table13232[[#This Row],[Nat and Combo Bet]],11)))</f>
        <v/>
      </c>
      <c r="S200" s="50" t="str">
        <f t="shared" si="10"/>
        <v/>
      </c>
      <c r="T200" s="50" t="str">
        <f t="shared" si="11"/>
        <v/>
      </c>
      <c r="U200" s="50" t="str">
        <f>IF(Table13232[[#This Row],[Date]]&lt;$U$4,"","Live")</f>
        <v/>
      </c>
      <c r="V200" s="45" t="str">
        <f>TEXT(Table13232[[#This Row],[Date]],"DDD")</f>
        <v>Sat</v>
      </c>
      <c r="W200" s="45" t="str">
        <f>PROPER(TRIM(Table13232[[#This Row],[Horse]]))</f>
        <v>Just Glamourous</v>
      </c>
    </row>
    <row r="201" spans="1:23" x14ac:dyDescent="0.25">
      <c r="A201" s="43">
        <v>45752</v>
      </c>
      <c r="B201" s="44">
        <v>0.56597222222222221</v>
      </c>
      <c r="C201" s="44" t="s">
        <v>13</v>
      </c>
      <c r="D201" s="45">
        <v>3</v>
      </c>
      <c r="E201" s="45">
        <v>3</v>
      </c>
      <c r="F201" s="46" t="s">
        <v>140</v>
      </c>
      <c r="G201" s="46" t="s">
        <v>21</v>
      </c>
      <c r="H201" s="47">
        <v>3</v>
      </c>
      <c r="I201" s="47" t="s">
        <v>298</v>
      </c>
      <c r="J201" s="45" t="str">
        <f>VLOOKUP(Table13232[[#This Row],[Track]],$C$836:$E$882,2,FALSE)</f>
        <v>NSW</v>
      </c>
      <c r="K201" s="49">
        <v>100</v>
      </c>
      <c r="L201" s="45">
        <f>IF(Table13232[[#This Row],[Fin]]&lt;&gt;"1st","",Table13232[[#This Row],[Div]]*Table13232[[#This Row],[Lev Bet]])</f>
        <v>300</v>
      </c>
      <c r="M201" s="45">
        <f>IF(Table13232[[#This Row],[Lev Ret]]="",Table13232[[#This Row],[Lev Bet]]*-1,L201-K201)</f>
        <v>200</v>
      </c>
      <c r="N201" s="135">
        <v>150</v>
      </c>
      <c r="O201" s="135">
        <f>IF(Table13232[[#This Row],[Fin]]&lt;&gt;"1st","",Table13232[[#This Row],[Div]]*Table13232[[#This Row],[Nat and Combo Bet]])</f>
        <v>450</v>
      </c>
      <c r="P201" s="135">
        <f>IF(Table13232[[#This Row],[Lev Ret]]="",Table13232[[#This Row],[Nat and Combo Bet]]*-1,O201-N201)</f>
        <v>300</v>
      </c>
      <c r="Q201" s="50">
        <f t="shared" si="9"/>
        <v>1</v>
      </c>
      <c r="R201" s="50">
        <f>IF(AND(Q200=2,Q201=1),"",IF(Q201=2,(N201+N202)/2,IF(Table13232[[#This Row],[Dual Listing]]=1,Table13232[[#This Row],[Nat and Combo Bet]],11)))</f>
        <v>150</v>
      </c>
      <c r="S201" s="50">
        <f t="shared" si="10"/>
        <v>450</v>
      </c>
      <c r="T201" s="50">
        <f t="shared" si="11"/>
        <v>300</v>
      </c>
      <c r="U201" s="50" t="str">
        <f>IF(Table13232[[#This Row],[Date]]&lt;$U$4,"","Live")</f>
        <v/>
      </c>
      <c r="V201" s="45" t="str">
        <f>TEXT(Table13232[[#This Row],[Date]],"DDD")</f>
        <v>Sat</v>
      </c>
      <c r="W201" s="45" t="str">
        <f>PROPER(TRIM(Table13232[[#This Row],[Horse]]))</f>
        <v>Alalcance</v>
      </c>
    </row>
    <row r="202" spans="1:23" x14ac:dyDescent="0.25">
      <c r="A202" s="43">
        <v>45752</v>
      </c>
      <c r="B202" s="44">
        <v>0.57638888888888884</v>
      </c>
      <c r="C202" s="44" t="s">
        <v>34</v>
      </c>
      <c r="D202" s="45">
        <v>4</v>
      </c>
      <c r="E202" s="45">
        <v>2</v>
      </c>
      <c r="F202" s="46" t="s">
        <v>141</v>
      </c>
      <c r="G202" s="46" t="s">
        <v>21</v>
      </c>
      <c r="H202" s="47">
        <v>5.5</v>
      </c>
      <c r="I202" s="47" t="s">
        <v>298</v>
      </c>
      <c r="J202" s="45" t="str">
        <f>VLOOKUP(Table13232[[#This Row],[Track]],$C$836:$E$882,2,FALSE)</f>
        <v>Vic</v>
      </c>
      <c r="K202" s="49">
        <v>100</v>
      </c>
      <c r="L202" s="45">
        <f>IF(Table13232[[#This Row],[Fin]]&lt;&gt;"1st","",Table13232[[#This Row],[Div]]*Table13232[[#This Row],[Lev Bet]])</f>
        <v>550</v>
      </c>
      <c r="M202" s="45">
        <f>IF(Table13232[[#This Row],[Lev Ret]]="",Table13232[[#This Row],[Lev Bet]]*-1,L202-K202)</f>
        <v>450</v>
      </c>
      <c r="N202" s="135">
        <v>100</v>
      </c>
      <c r="O202" s="135">
        <f>IF(Table13232[[#This Row],[Fin]]&lt;&gt;"1st","",Table13232[[#This Row],[Div]]*Table13232[[#This Row],[Nat and Combo Bet]])</f>
        <v>550</v>
      </c>
      <c r="P202" s="135">
        <f>IF(Table13232[[#This Row],[Lev Ret]]="",Table13232[[#This Row],[Nat and Combo Bet]]*-1,O202-N202)</f>
        <v>450</v>
      </c>
      <c r="Q202" s="50">
        <f t="shared" si="9"/>
        <v>1</v>
      </c>
      <c r="R202" s="50">
        <f>IF(AND(Q201=2,Q202=1),"",IF(Q202=2,(N202+N203)/2,IF(Table13232[[#This Row],[Dual Listing]]=1,Table13232[[#This Row],[Nat and Combo Bet]],11)))</f>
        <v>100</v>
      </c>
      <c r="S202" s="50">
        <f t="shared" si="10"/>
        <v>550</v>
      </c>
      <c r="T202" s="50">
        <f t="shared" si="11"/>
        <v>450</v>
      </c>
      <c r="U202" s="50" t="str">
        <f>IF(Table13232[[#This Row],[Date]]&lt;$U$4,"","Live")</f>
        <v/>
      </c>
      <c r="V202" s="45" t="str">
        <f>TEXT(Table13232[[#This Row],[Date]],"DDD")</f>
        <v>Sat</v>
      </c>
      <c r="W202" s="45" t="str">
        <f>PROPER(TRIM(Table13232[[#This Row],[Horse]]))</f>
        <v>Hughes</v>
      </c>
    </row>
    <row r="203" spans="1:23" x14ac:dyDescent="0.25">
      <c r="A203" s="43">
        <v>45752</v>
      </c>
      <c r="B203" s="44">
        <v>0.59375</v>
      </c>
      <c r="C203" s="44" t="s">
        <v>13</v>
      </c>
      <c r="D203" s="45">
        <v>3</v>
      </c>
      <c r="E203" s="45">
        <v>3</v>
      </c>
      <c r="F203" s="46" t="s">
        <v>140</v>
      </c>
      <c r="G203" s="46" t="s">
        <v>21</v>
      </c>
      <c r="H203" s="47">
        <v>3</v>
      </c>
      <c r="I203" s="52" t="s">
        <v>297</v>
      </c>
      <c r="J203" s="45" t="str">
        <f>VLOOKUP(Table13232[[#This Row],[Track]],$C$836:$E$882,2,FALSE)</f>
        <v>NSW</v>
      </c>
      <c r="K203" s="49">
        <v>100</v>
      </c>
      <c r="L203" s="45">
        <f>IF(Table13232[[#This Row],[Fin]]&lt;&gt;"1st","",Table13232[[#This Row],[Div]]*Table13232[[#This Row],[Lev Bet]])</f>
        <v>300</v>
      </c>
      <c r="M203" s="45">
        <f>IF(Table13232[[#This Row],[Lev Ret]]="",Table13232[[#This Row],[Lev Bet]]*-1,L203-K203)</f>
        <v>200</v>
      </c>
      <c r="N203" s="135">
        <v>150</v>
      </c>
      <c r="O203" s="135">
        <f>IF(Table13232[[#This Row],[Fin]]&lt;&gt;"1st","",Table13232[[#This Row],[Div]]*Table13232[[#This Row],[Nat and Combo Bet]])</f>
        <v>450</v>
      </c>
      <c r="P203" s="135">
        <f>IF(Table13232[[#This Row],[Lev Ret]]="",Table13232[[#This Row],[Nat and Combo Bet]]*-1,O203-N203)</f>
        <v>300</v>
      </c>
      <c r="Q203" s="50">
        <f t="shared" si="9"/>
        <v>1</v>
      </c>
      <c r="R203" s="50">
        <f>IF(AND(Q202=2,Q203=1),"",IF(Q203=2,(N203+N204)/2,IF(Table13232[[#This Row],[Dual Listing]]=1,Table13232[[#This Row],[Nat and Combo Bet]],11)))</f>
        <v>150</v>
      </c>
      <c r="S203" s="50">
        <f t="shared" si="10"/>
        <v>450</v>
      </c>
      <c r="T203" s="50">
        <f t="shared" si="11"/>
        <v>300</v>
      </c>
      <c r="U203" s="50" t="str">
        <f>IF(Table13232[[#This Row],[Date]]&lt;$U$4,"","Live")</f>
        <v/>
      </c>
      <c r="V203" s="45" t="str">
        <f>TEXT(Table13232[[#This Row],[Date]],"DDD")</f>
        <v>Sat</v>
      </c>
      <c r="W203" s="45" t="str">
        <f>PROPER(TRIM(Table13232[[#This Row],[Horse]]))</f>
        <v>Alalcance</v>
      </c>
    </row>
    <row r="204" spans="1:23" x14ac:dyDescent="0.25">
      <c r="A204" s="43">
        <v>45752</v>
      </c>
      <c r="B204" s="44">
        <v>0.64930555555555558</v>
      </c>
      <c r="C204" s="44" t="s">
        <v>34</v>
      </c>
      <c r="D204" s="45">
        <v>7</v>
      </c>
      <c r="E204" s="45">
        <v>9</v>
      </c>
      <c r="F204" s="46" t="s">
        <v>142</v>
      </c>
      <c r="G204" s="46" t="s">
        <v>23</v>
      </c>
      <c r="H204" s="47"/>
      <c r="I204" s="47" t="s">
        <v>298</v>
      </c>
      <c r="J204" s="45" t="str">
        <f>VLOOKUP(Table13232[[#This Row],[Track]],$C$836:$E$882,2,FALSE)</f>
        <v>Vic</v>
      </c>
      <c r="K204" s="49">
        <v>100</v>
      </c>
      <c r="L204" s="45" t="str">
        <f>IF(Table13232[[#This Row],[Fin]]&lt;&gt;"1st","",Table13232[[#This Row],[Div]]*Table13232[[#This Row],[Lev Bet]])</f>
        <v/>
      </c>
      <c r="M204" s="45">
        <f>IF(Table13232[[#This Row],[Lev Ret]]="",Table13232[[#This Row],[Lev Bet]]*-1,L204-K204)</f>
        <v>-100</v>
      </c>
      <c r="N204" s="135">
        <v>100</v>
      </c>
      <c r="O204" s="135" t="str">
        <f>IF(Table13232[[#This Row],[Fin]]&lt;&gt;"1st","",Table13232[[#This Row],[Div]]*Table13232[[#This Row],[Nat and Combo Bet]])</f>
        <v/>
      </c>
      <c r="P204" s="135">
        <f>IF(Table13232[[#This Row],[Lev Ret]]="",Table13232[[#This Row],[Nat and Combo Bet]]*-1,O204-N204)</f>
        <v>-100</v>
      </c>
      <c r="Q204" s="50">
        <f t="shared" si="9"/>
        <v>1</v>
      </c>
      <c r="R204" s="50">
        <f>IF(AND(Q203=2,Q204=1),"",IF(Q204=2,(N204+N205)/2,IF(Table13232[[#This Row],[Dual Listing]]=1,Table13232[[#This Row],[Nat and Combo Bet]],11)))</f>
        <v>100</v>
      </c>
      <c r="S204" s="50" t="str">
        <f t="shared" si="10"/>
        <v/>
      </c>
      <c r="T204" s="50">
        <f t="shared" si="11"/>
        <v>-100</v>
      </c>
      <c r="U204" s="50" t="str">
        <f>IF(Table13232[[#This Row],[Date]]&lt;$U$4,"","Live")</f>
        <v/>
      </c>
      <c r="V204" s="45" t="str">
        <f>TEXT(Table13232[[#This Row],[Date]],"DDD")</f>
        <v>Sat</v>
      </c>
      <c r="W204" s="45" t="str">
        <f>PROPER(TRIM(Table13232[[#This Row],[Horse]]))</f>
        <v>Thames</v>
      </c>
    </row>
    <row r="205" spans="1:23" x14ac:dyDescent="0.25">
      <c r="A205" s="43">
        <v>45752</v>
      </c>
      <c r="B205" s="44">
        <v>0.66319444444444442</v>
      </c>
      <c r="C205" s="44" t="s">
        <v>13</v>
      </c>
      <c r="D205" s="45">
        <v>7</v>
      </c>
      <c r="E205" s="45">
        <v>7</v>
      </c>
      <c r="F205" s="46" t="s">
        <v>143</v>
      </c>
      <c r="G205" s="46"/>
      <c r="H205" s="47"/>
      <c r="I205" s="47" t="s">
        <v>298</v>
      </c>
      <c r="J205" s="45" t="str">
        <f>VLOOKUP(Table13232[[#This Row],[Track]],$C$836:$E$882,2,FALSE)</f>
        <v>NSW</v>
      </c>
      <c r="K205" s="49">
        <v>100</v>
      </c>
      <c r="L205" s="45" t="str">
        <f>IF(Table13232[[#This Row],[Fin]]&lt;&gt;"1st","",Table13232[[#This Row],[Div]]*Table13232[[#This Row],[Lev Bet]])</f>
        <v/>
      </c>
      <c r="M205" s="45">
        <f>IF(Table13232[[#This Row],[Lev Ret]]="",Table13232[[#This Row],[Lev Bet]]*-1,L205-K205)</f>
        <v>-100</v>
      </c>
      <c r="N205" s="135">
        <v>150</v>
      </c>
      <c r="O205" s="135" t="str">
        <f>IF(Table13232[[#This Row],[Fin]]&lt;&gt;"1st","",Table13232[[#This Row],[Div]]*Table13232[[#This Row],[Nat and Combo Bet]])</f>
        <v/>
      </c>
      <c r="P205" s="135">
        <f>IF(Table13232[[#This Row],[Lev Ret]]="",Table13232[[#This Row],[Nat and Combo Bet]]*-1,O205-N205)</f>
        <v>-150</v>
      </c>
      <c r="Q205" s="50">
        <f t="shared" si="9"/>
        <v>1</v>
      </c>
      <c r="R205" s="50">
        <f>IF(AND(Q204=2,Q205=1),"",IF(Q205=2,(N205+N206)/2,IF(Table13232[[#This Row],[Dual Listing]]=1,Table13232[[#This Row],[Nat and Combo Bet]],11)))</f>
        <v>150</v>
      </c>
      <c r="S205" s="50" t="str">
        <f t="shared" si="10"/>
        <v/>
      </c>
      <c r="T205" s="50">
        <f t="shared" si="11"/>
        <v>-150</v>
      </c>
      <c r="U205" s="50" t="str">
        <f>IF(Table13232[[#This Row],[Date]]&lt;$U$4,"","Live")</f>
        <v/>
      </c>
      <c r="V205" s="45" t="str">
        <f>TEXT(Table13232[[#This Row],[Date]],"DDD")</f>
        <v>Sat</v>
      </c>
      <c r="W205" s="45" t="str">
        <f>PROPER(TRIM(Table13232[[#This Row],[Horse]]))</f>
        <v>Joliestar</v>
      </c>
    </row>
    <row r="206" spans="1:23" x14ac:dyDescent="0.25">
      <c r="A206" s="43">
        <v>45752</v>
      </c>
      <c r="B206" s="44">
        <v>0.67708333333333337</v>
      </c>
      <c r="C206" s="44" t="s">
        <v>34</v>
      </c>
      <c r="D206" s="45">
        <v>8</v>
      </c>
      <c r="E206" s="45">
        <v>6</v>
      </c>
      <c r="F206" s="46" t="s">
        <v>144</v>
      </c>
      <c r="G206" s="46"/>
      <c r="H206" s="47"/>
      <c r="I206" s="47" t="s">
        <v>298</v>
      </c>
      <c r="J206" s="45" t="str">
        <f>VLOOKUP(Table13232[[#This Row],[Track]],$C$836:$E$882,2,FALSE)</f>
        <v>Vic</v>
      </c>
      <c r="K206" s="49">
        <v>100</v>
      </c>
      <c r="L206" s="45" t="str">
        <f>IF(Table13232[[#This Row],[Fin]]&lt;&gt;"1st","",Table13232[[#This Row],[Div]]*Table13232[[#This Row],[Lev Bet]])</f>
        <v/>
      </c>
      <c r="M206" s="45">
        <f>IF(Table13232[[#This Row],[Lev Ret]]="",Table13232[[#This Row],[Lev Bet]]*-1,L206-K206)</f>
        <v>-100</v>
      </c>
      <c r="N206" s="135">
        <v>100</v>
      </c>
      <c r="O206" s="135" t="str">
        <f>IF(Table13232[[#This Row],[Fin]]&lt;&gt;"1st","",Table13232[[#This Row],[Div]]*Table13232[[#This Row],[Nat and Combo Bet]])</f>
        <v/>
      </c>
      <c r="P206" s="135">
        <f>IF(Table13232[[#This Row],[Lev Ret]]="",Table13232[[#This Row],[Nat and Combo Bet]]*-1,O206-N206)</f>
        <v>-100</v>
      </c>
      <c r="Q206" s="50">
        <f t="shared" si="9"/>
        <v>1</v>
      </c>
      <c r="R206" s="50">
        <f>IF(AND(Q205=2,Q206=1),"",IF(Q206=2,(N206+N207)/2,IF(Table13232[[#This Row],[Dual Listing]]=1,Table13232[[#This Row],[Nat and Combo Bet]],11)))</f>
        <v>100</v>
      </c>
      <c r="S206" s="50" t="str">
        <f t="shared" si="10"/>
        <v/>
      </c>
      <c r="T206" s="50">
        <f t="shared" si="11"/>
        <v>-100</v>
      </c>
      <c r="U206" s="50" t="str">
        <f>IF(Table13232[[#This Row],[Date]]&lt;$U$4,"","Live")</f>
        <v/>
      </c>
      <c r="V206" s="45" t="str">
        <f>TEXT(Table13232[[#This Row],[Date]],"DDD")</f>
        <v>Sat</v>
      </c>
      <c r="W206" s="45" t="str">
        <f>PROPER(TRIM(Table13232[[#This Row],[Horse]]))</f>
        <v>Poison Chalice</v>
      </c>
    </row>
    <row r="207" spans="1:23" x14ac:dyDescent="0.25">
      <c r="A207" s="43">
        <v>45752</v>
      </c>
      <c r="B207" s="44">
        <v>0.71875</v>
      </c>
      <c r="C207" s="44" t="s">
        <v>13</v>
      </c>
      <c r="D207" s="45">
        <v>9</v>
      </c>
      <c r="E207" s="45">
        <v>18</v>
      </c>
      <c r="F207" s="46" t="s">
        <v>145</v>
      </c>
      <c r="G207" s="46" t="s">
        <v>21</v>
      </c>
      <c r="H207" s="47">
        <v>2.4500000000000002</v>
      </c>
      <c r="I207" s="47" t="s">
        <v>298</v>
      </c>
      <c r="J207" s="45" t="str">
        <f>VLOOKUP(Table13232[[#This Row],[Track]],$C$836:$E$882,2,FALSE)</f>
        <v>NSW</v>
      </c>
      <c r="K207" s="49">
        <v>100</v>
      </c>
      <c r="L207" s="45">
        <f>IF(Table13232[[#This Row],[Fin]]&lt;&gt;"1st","",Table13232[[#This Row],[Div]]*Table13232[[#This Row],[Lev Bet]])</f>
        <v>245.00000000000003</v>
      </c>
      <c r="M207" s="45">
        <f>IF(Table13232[[#This Row],[Lev Ret]]="",Table13232[[#This Row],[Lev Bet]]*-1,L207-K207)</f>
        <v>145.00000000000003</v>
      </c>
      <c r="N207" s="135">
        <v>150</v>
      </c>
      <c r="O207" s="135">
        <f>IF(Table13232[[#This Row],[Fin]]&lt;&gt;"1st","",Table13232[[#This Row],[Div]]*Table13232[[#This Row],[Nat and Combo Bet]])</f>
        <v>367.5</v>
      </c>
      <c r="P207" s="135">
        <f>IF(Table13232[[#This Row],[Lev Ret]]="",Table13232[[#This Row],[Nat and Combo Bet]]*-1,O207-N207)</f>
        <v>217.5</v>
      </c>
      <c r="Q207" s="50">
        <f t="shared" si="9"/>
        <v>1</v>
      </c>
      <c r="R207" s="50">
        <f>IF(AND(Q206=2,Q207=1),"",IF(Q207=2,(N207+N208)/2,IF(Table13232[[#This Row],[Dual Listing]]=1,Table13232[[#This Row],[Nat and Combo Bet]],11)))</f>
        <v>150</v>
      </c>
      <c r="S207" s="50">
        <f t="shared" si="10"/>
        <v>367.5</v>
      </c>
      <c r="T207" s="50">
        <f t="shared" si="11"/>
        <v>217.5</v>
      </c>
      <c r="U207" s="50" t="str">
        <f>IF(Table13232[[#This Row],[Date]]&lt;$U$4,"","Live")</f>
        <v/>
      </c>
      <c r="V207" s="45" t="str">
        <f>TEXT(Table13232[[#This Row],[Date]],"DDD")</f>
        <v>Sat</v>
      </c>
      <c r="W207" s="45" t="str">
        <f>PROPER(TRIM(Table13232[[#This Row],[Horse]]))</f>
        <v>Aeliana</v>
      </c>
    </row>
    <row r="208" spans="1:23" x14ac:dyDescent="0.25">
      <c r="A208" s="43">
        <v>45752</v>
      </c>
      <c r="B208" s="44">
        <v>0.73263888888888884</v>
      </c>
      <c r="C208" s="44" t="s">
        <v>34</v>
      </c>
      <c r="D208" s="45">
        <v>10</v>
      </c>
      <c r="E208" s="45">
        <v>1</v>
      </c>
      <c r="F208" s="46" t="s">
        <v>400</v>
      </c>
      <c r="G208" s="46"/>
      <c r="H208" s="47"/>
      <c r="I208" s="52" t="s">
        <v>297</v>
      </c>
      <c r="J208" s="45" t="str">
        <f>VLOOKUP(Table13232[[#This Row],[Track]],$C$836:$E$882,2,FALSE)</f>
        <v>Vic</v>
      </c>
      <c r="K208" s="49">
        <v>100</v>
      </c>
      <c r="L208" s="45" t="str">
        <f>IF(Table13232[[#This Row],[Fin]]&lt;&gt;"1st","",Table13232[[#This Row],[Div]]*Table13232[[#This Row],[Lev Bet]])</f>
        <v/>
      </c>
      <c r="M208" s="45">
        <f>IF(Table13232[[#This Row],[Lev Ret]]="",Table13232[[#This Row],[Lev Bet]]*-1,L208-K208)</f>
        <v>-100</v>
      </c>
      <c r="N208" s="135">
        <v>150</v>
      </c>
      <c r="O208" s="135" t="str">
        <f>IF(Table13232[[#This Row],[Fin]]&lt;&gt;"1st","",Table13232[[#This Row],[Div]]*Table13232[[#This Row],[Nat and Combo Bet]])</f>
        <v/>
      </c>
      <c r="P208" s="135">
        <f>IF(Table13232[[#This Row],[Lev Ret]]="",Table13232[[#This Row],[Nat and Combo Bet]]*-1,O208-N208)</f>
        <v>-150</v>
      </c>
      <c r="Q208" s="50">
        <f t="shared" si="9"/>
        <v>1</v>
      </c>
      <c r="R208" s="50">
        <f>IF(AND(Q207=2,Q208=1),"",IF(Q208=2,(N208+N209)/2,IF(Table13232[[#This Row],[Dual Listing]]=1,Table13232[[#This Row],[Nat and Combo Bet]],11)))</f>
        <v>150</v>
      </c>
      <c r="S208" s="50" t="str">
        <f t="shared" si="10"/>
        <v/>
      </c>
      <c r="T208" s="50">
        <f t="shared" si="11"/>
        <v>-150</v>
      </c>
      <c r="U208" s="50" t="str">
        <f>IF(Table13232[[#This Row],[Date]]&lt;$U$4,"","Live")</f>
        <v/>
      </c>
      <c r="V208" s="45" t="str">
        <f>TEXT(Table13232[[#This Row],[Date]],"DDD")</f>
        <v>Sat</v>
      </c>
      <c r="W208" s="45" t="str">
        <f>PROPER(TRIM(Table13232[[#This Row],[Horse]]))</f>
        <v>Modown</v>
      </c>
    </row>
    <row r="209" spans="1:23" x14ac:dyDescent="0.25">
      <c r="A209" s="43">
        <v>45752</v>
      </c>
      <c r="B209" s="44">
        <v>0.74305555555555558</v>
      </c>
      <c r="C209" s="44" t="s">
        <v>13</v>
      </c>
      <c r="D209" s="45">
        <v>10</v>
      </c>
      <c r="E209" s="45">
        <v>1</v>
      </c>
      <c r="F209" s="46" t="s">
        <v>146</v>
      </c>
      <c r="G209" s="46"/>
      <c r="H209" s="47"/>
      <c r="I209" s="47" t="s">
        <v>298</v>
      </c>
      <c r="J209" s="45" t="str">
        <f>VLOOKUP(Table13232[[#This Row],[Track]],$C$836:$E$882,2,FALSE)</f>
        <v>NSW</v>
      </c>
      <c r="K209" s="49">
        <v>100</v>
      </c>
      <c r="L209" s="45" t="str">
        <f>IF(Table13232[[#This Row],[Fin]]&lt;&gt;"1st","",Table13232[[#This Row],[Div]]*Table13232[[#This Row],[Lev Bet]])</f>
        <v/>
      </c>
      <c r="M209" s="45">
        <f>IF(Table13232[[#This Row],[Lev Ret]]="",Table13232[[#This Row],[Lev Bet]]*-1,L209-K209)</f>
        <v>-100</v>
      </c>
      <c r="N209" s="135">
        <v>150</v>
      </c>
      <c r="O209" s="135" t="str">
        <f>IF(Table13232[[#This Row],[Fin]]&lt;&gt;"1st","",Table13232[[#This Row],[Div]]*Table13232[[#This Row],[Nat and Combo Bet]])</f>
        <v/>
      </c>
      <c r="P209" s="135">
        <f>IF(Table13232[[#This Row],[Lev Ret]]="",Table13232[[#This Row],[Nat and Combo Bet]]*-1,O209-N209)</f>
        <v>-150</v>
      </c>
      <c r="Q209" s="50">
        <f t="shared" si="9"/>
        <v>1</v>
      </c>
      <c r="R209" s="50">
        <f>IF(AND(Q208=2,Q209=1),"",IF(Q209=2,(N209+N210)/2,IF(Table13232[[#This Row],[Dual Listing]]=1,Table13232[[#This Row],[Nat and Combo Bet]],11)))</f>
        <v>150</v>
      </c>
      <c r="S209" s="50" t="str">
        <f t="shared" si="10"/>
        <v/>
      </c>
      <c r="T209" s="50">
        <f t="shared" si="11"/>
        <v>-150</v>
      </c>
      <c r="U209" s="50" t="str">
        <f>IF(Table13232[[#This Row],[Date]]&lt;$U$4,"","Live")</f>
        <v/>
      </c>
      <c r="V209" s="45" t="str">
        <f>TEXT(Table13232[[#This Row],[Date]],"DDD")</f>
        <v>Sat</v>
      </c>
      <c r="W209" s="45" t="str">
        <f>PROPER(TRIM(Table13232[[#This Row],[Horse]]))</f>
        <v>Clean Energy</v>
      </c>
    </row>
    <row r="210" spans="1:23" x14ac:dyDescent="0.25">
      <c r="A210" s="43">
        <v>45759</v>
      </c>
      <c r="B210" s="44">
        <v>0.50347222222222221</v>
      </c>
      <c r="C210" s="44" t="s">
        <v>44</v>
      </c>
      <c r="D210" s="45">
        <v>1</v>
      </c>
      <c r="E210" s="45">
        <v>5</v>
      </c>
      <c r="F210" s="46" t="s">
        <v>147</v>
      </c>
      <c r="G210" s="46"/>
      <c r="H210" s="47"/>
      <c r="I210" s="52" t="s">
        <v>297</v>
      </c>
      <c r="J210" s="45" t="str">
        <f>VLOOKUP(Table13232[[#This Row],[Track]],$C$836:$E$882,2,FALSE)</f>
        <v>Vic</v>
      </c>
      <c r="K210" s="49">
        <v>100</v>
      </c>
      <c r="L210" s="45" t="str">
        <f>IF(Table13232[[#This Row],[Fin]]&lt;&gt;"1st","",Table13232[[#This Row],[Div]]*Table13232[[#This Row],[Lev Bet]])</f>
        <v/>
      </c>
      <c r="M210" s="45">
        <f>IF(Table13232[[#This Row],[Lev Ret]]="",Table13232[[#This Row],[Lev Bet]]*-1,L210-K210)</f>
        <v>-100</v>
      </c>
      <c r="N210" s="135">
        <v>200</v>
      </c>
      <c r="O210" s="135" t="str">
        <f>IF(Table13232[[#This Row],[Fin]]&lt;&gt;"1st","",Table13232[[#This Row],[Div]]*Table13232[[#This Row],[Nat and Combo Bet]])</f>
        <v/>
      </c>
      <c r="P210" s="135">
        <f>IF(Table13232[[#This Row],[Lev Ret]]="",Table13232[[#This Row],[Nat and Combo Bet]]*-1,O210-N210)</f>
        <v>-200</v>
      </c>
      <c r="Q210" s="50">
        <f t="shared" si="9"/>
        <v>1</v>
      </c>
      <c r="R210" s="50">
        <f>IF(AND(Q209=2,Q210=1),"",IF(Q210=2,(N210+N211)/2,IF(Table13232[[#This Row],[Dual Listing]]=1,Table13232[[#This Row],[Nat and Combo Bet]],11)))</f>
        <v>200</v>
      </c>
      <c r="S210" s="50" t="str">
        <f t="shared" si="10"/>
        <v/>
      </c>
      <c r="T210" s="50">
        <f t="shared" si="11"/>
        <v>-200</v>
      </c>
      <c r="U210" s="50" t="str">
        <f>IF(Table13232[[#This Row],[Date]]&lt;$U$4,"","Live")</f>
        <v/>
      </c>
      <c r="V210" s="45" t="str">
        <f>TEXT(Table13232[[#This Row],[Date]],"DDD")</f>
        <v>Sat</v>
      </c>
      <c r="W210" s="45" t="str">
        <f>PROPER(TRIM(Table13232[[#This Row],[Horse]]))</f>
        <v>Dschingis Prestige</v>
      </c>
    </row>
    <row r="211" spans="1:23" x14ac:dyDescent="0.25">
      <c r="A211" s="109">
        <v>45759</v>
      </c>
      <c r="B211" s="53">
        <v>0.53819444444444442</v>
      </c>
      <c r="C211" s="110" t="s">
        <v>13</v>
      </c>
      <c r="D211" s="111">
        <v>3</v>
      </c>
      <c r="E211" s="111">
        <v>1</v>
      </c>
      <c r="F211" s="112" t="s">
        <v>148</v>
      </c>
      <c r="G211" s="112" t="s">
        <v>21</v>
      </c>
      <c r="H211" s="113">
        <v>4.4000000000000004</v>
      </c>
      <c r="I211" s="114" t="s">
        <v>297</v>
      </c>
      <c r="J211" s="45" t="str">
        <f>VLOOKUP(Table13232[[#This Row],[Track]],$C$836:$E$882,2,FALSE)</f>
        <v>NSW</v>
      </c>
      <c r="K211" s="55">
        <v>100</v>
      </c>
      <c r="L211" s="54">
        <f>IF(Table13232[[#This Row],[Fin]]&lt;&gt;"1st","",Table13232[[#This Row],[Div]]*Table13232[[#This Row],[Lev Bet]])</f>
        <v>440.00000000000006</v>
      </c>
      <c r="M211" s="54">
        <f>IF(Table13232[[#This Row],[Lev Ret]]="",Table13232[[#This Row],[Lev Bet]]*-1,L211-K211)</f>
        <v>340.00000000000006</v>
      </c>
      <c r="N211" s="135">
        <v>100</v>
      </c>
      <c r="O211" s="135">
        <f>IF(Table13232[[#This Row],[Fin]]&lt;&gt;"1st","",Table13232[[#This Row],[Div]]*Table13232[[#This Row],[Nat and Combo Bet]])</f>
        <v>440.00000000000006</v>
      </c>
      <c r="P211" s="135">
        <f>IF(Table13232[[#This Row],[Lev Ret]]="",Table13232[[#This Row],[Nat and Combo Bet]]*-1,O211-N211)</f>
        <v>340.00000000000006</v>
      </c>
      <c r="Q211" s="50">
        <f t="shared" si="9"/>
        <v>2</v>
      </c>
      <c r="R211" s="50">
        <f>IF(AND(Q210=2,Q211=1),"",IF(Q211=2,(N211+N212)/2,IF(Table13232[[#This Row],[Dual Listing]]=1,Table13232[[#This Row],[Nat and Combo Bet]],11)))</f>
        <v>125</v>
      </c>
      <c r="S211" s="50">
        <f t="shared" si="10"/>
        <v>550</v>
      </c>
      <c r="T211" s="50">
        <f t="shared" si="11"/>
        <v>425</v>
      </c>
      <c r="U211" s="50" t="str">
        <f>IF(Table13232[[#This Row],[Date]]&lt;$U$4,"","Live")</f>
        <v/>
      </c>
      <c r="V211" s="45" t="str">
        <f>TEXT(Table13232[[#This Row],[Date]],"DDD")</f>
        <v>Sat</v>
      </c>
      <c r="W211" s="45" t="str">
        <f>PROPER(TRIM(Table13232[[#This Row],[Horse]]))</f>
        <v>Matcha Latte</v>
      </c>
    </row>
    <row r="212" spans="1:23" x14ac:dyDescent="0.25">
      <c r="A212" s="109">
        <v>45759</v>
      </c>
      <c r="B212" s="53">
        <v>0.53819444444444442</v>
      </c>
      <c r="C212" s="110" t="s">
        <v>13</v>
      </c>
      <c r="D212" s="111">
        <v>3</v>
      </c>
      <c r="E212" s="111">
        <v>1</v>
      </c>
      <c r="F212" s="112" t="s">
        <v>148</v>
      </c>
      <c r="G212" s="112" t="s">
        <v>21</v>
      </c>
      <c r="H212" s="113">
        <v>4.4000000000000004</v>
      </c>
      <c r="I212" s="113" t="s">
        <v>298</v>
      </c>
      <c r="J212" s="45" t="str">
        <f>VLOOKUP(Table13232[[#This Row],[Track]],$C$836:$E$882,2,FALSE)</f>
        <v>NSW</v>
      </c>
      <c r="K212" s="55">
        <v>100</v>
      </c>
      <c r="L212" s="54">
        <f>IF(Table13232[[#This Row],[Fin]]&lt;&gt;"1st","",Table13232[[#This Row],[Div]]*Table13232[[#This Row],[Lev Bet]])</f>
        <v>440.00000000000006</v>
      </c>
      <c r="M212" s="54">
        <f>IF(Table13232[[#This Row],[Lev Ret]]="",Table13232[[#This Row],[Lev Bet]]*-1,L212-K212)</f>
        <v>340.00000000000006</v>
      </c>
      <c r="N212" s="135">
        <v>150</v>
      </c>
      <c r="O212" s="135">
        <f>IF(Table13232[[#This Row],[Fin]]&lt;&gt;"1st","",Table13232[[#This Row],[Div]]*Table13232[[#This Row],[Nat and Combo Bet]])</f>
        <v>660</v>
      </c>
      <c r="P212" s="135">
        <f>IF(Table13232[[#This Row],[Lev Ret]]="",Table13232[[#This Row],[Nat and Combo Bet]]*-1,O212-N212)</f>
        <v>510</v>
      </c>
      <c r="Q212" s="50">
        <f t="shared" si="9"/>
        <v>1</v>
      </c>
      <c r="R212" s="50" t="str">
        <f>IF(AND(Q211=2,Q212=1),"",IF(Q212=2,(N212+N213)/2,IF(Table13232[[#This Row],[Dual Listing]]=1,Table13232[[#This Row],[Nat and Combo Bet]],11)))</f>
        <v/>
      </c>
      <c r="S212" s="50" t="str">
        <f t="shared" si="10"/>
        <v/>
      </c>
      <c r="T212" s="50" t="str">
        <f t="shared" si="11"/>
        <v/>
      </c>
      <c r="U212" s="50" t="str">
        <f>IF(Table13232[[#This Row],[Date]]&lt;$U$4,"","Live")</f>
        <v/>
      </c>
      <c r="V212" s="45" t="str">
        <f>TEXT(Table13232[[#This Row],[Date]],"DDD")</f>
        <v>Sat</v>
      </c>
      <c r="W212" s="45" t="str">
        <f>PROPER(TRIM(Table13232[[#This Row],[Horse]]))</f>
        <v>Matcha Latte</v>
      </c>
    </row>
    <row r="213" spans="1:23" x14ac:dyDescent="0.25">
      <c r="A213" s="43">
        <v>45759</v>
      </c>
      <c r="B213" s="44">
        <v>0.54374999999999996</v>
      </c>
      <c r="C213" s="44" t="s">
        <v>9</v>
      </c>
      <c r="D213" s="45">
        <v>3</v>
      </c>
      <c r="E213" s="45">
        <v>15</v>
      </c>
      <c r="F213" s="46" t="s">
        <v>149</v>
      </c>
      <c r="G213" s="46"/>
      <c r="H213" s="47"/>
      <c r="I213" s="47" t="s">
        <v>298</v>
      </c>
      <c r="J213" s="45" t="str">
        <f>VLOOKUP(Table13232[[#This Row],[Track]],$C$836:$E$882,2,FALSE)</f>
        <v>Qld</v>
      </c>
      <c r="K213" s="49">
        <v>100</v>
      </c>
      <c r="L213" s="45" t="str">
        <f>IF(Table13232[[#This Row],[Fin]]&lt;&gt;"1st","",Table13232[[#This Row],[Div]]*Table13232[[#This Row],[Lev Bet]])</f>
        <v/>
      </c>
      <c r="M213" s="45">
        <f>IF(Table13232[[#This Row],[Lev Ret]]="",Table13232[[#This Row],[Lev Bet]]*-1,L213-K213)</f>
        <v>-100</v>
      </c>
      <c r="N213" s="135">
        <v>100</v>
      </c>
      <c r="O213" s="135" t="str">
        <f>IF(Table13232[[#This Row],[Fin]]&lt;&gt;"1st","",Table13232[[#This Row],[Div]]*Table13232[[#This Row],[Nat and Combo Bet]])</f>
        <v/>
      </c>
      <c r="P213" s="135">
        <f>IF(Table13232[[#This Row],[Lev Ret]]="",Table13232[[#This Row],[Nat and Combo Bet]]*-1,O213-N213)</f>
        <v>-100</v>
      </c>
      <c r="Q213" s="50">
        <f t="shared" si="9"/>
        <v>1</v>
      </c>
      <c r="R213" s="50">
        <f>IF(AND(Q212=2,Q213=1),"",IF(Q213=2,(N213+N214)/2,IF(Table13232[[#This Row],[Dual Listing]]=1,Table13232[[#This Row],[Nat and Combo Bet]],11)))</f>
        <v>100</v>
      </c>
      <c r="S213" s="50" t="str">
        <f t="shared" si="10"/>
        <v/>
      </c>
      <c r="T213" s="50">
        <f t="shared" si="11"/>
        <v>-100</v>
      </c>
      <c r="U213" s="50" t="str">
        <f>IF(Table13232[[#This Row],[Date]]&lt;$U$4,"","Live")</f>
        <v/>
      </c>
      <c r="V213" s="45" t="str">
        <f>TEXT(Table13232[[#This Row],[Date]],"DDD")</f>
        <v>Sat</v>
      </c>
      <c r="W213" s="45" t="str">
        <f>PROPER(TRIM(Table13232[[#This Row],[Horse]]))</f>
        <v>Shes Got Veuve</v>
      </c>
    </row>
    <row r="214" spans="1:23" x14ac:dyDescent="0.25">
      <c r="A214" s="43">
        <v>45759</v>
      </c>
      <c r="B214" s="44">
        <v>0.58680555555555558</v>
      </c>
      <c r="C214" s="44" t="s">
        <v>13</v>
      </c>
      <c r="D214" s="45">
        <v>5</v>
      </c>
      <c r="E214" s="45">
        <v>6</v>
      </c>
      <c r="F214" s="46" t="s">
        <v>150</v>
      </c>
      <c r="G214" s="46"/>
      <c r="H214" s="47"/>
      <c r="I214" s="47" t="s">
        <v>298</v>
      </c>
      <c r="J214" s="45" t="str">
        <f>VLOOKUP(Table13232[[#This Row],[Track]],$C$836:$E$882,2,FALSE)</f>
        <v>NSW</v>
      </c>
      <c r="K214" s="49">
        <v>100</v>
      </c>
      <c r="L214" s="45" t="str">
        <f>IF(Table13232[[#This Row],[Fin]]&lt;&gt;"1st","",Table13232[[#This Row],[Div]]*Table13232[[#This Row],[Lev Bet]])</f>
        <v/>
      </c>
      <c r="M214" s="45">
        <f>IF(Table13232[[#This Row],[Lev Ret]]="",Table13232[[#This Row],[Lev Bet]]*-1,L214-K214)</f>
        <v>-100</v>
      </c>
      <c r="N214" s="135">
        <v>150</v>
      </c>
      <c r="O214" s="135" t="str">
        <f>IF(Table13232[[#This Row],[Fin]]&lt;&gt;"1st","",Table13232[[#This Row],[Div]]*Table13232[[#This Row],[Nat and Combo Bet]])</f>
        <v/>
      </c>
      <c r="P214" s="135">
        <f>IF(Table13232[[#This Row],[Lev Ret]]="",Table13232[[#This Row],[Nat and Combo Bet]]*-1,O214-N214)</f>
        <v>-150</v>
      </c>
      <c r="Q214" s="50">
        <f t="shared" si="9"/>
        <v>1</v>
      </c>
      <c r="R214" s="50">
        <f>IF(AND(Q213=2,Q214=1),"",IF(Q214=2,(N214+N215)/2,IF(Table13232[[#This Row],[Dual Listing]]=1,Table13232[[#This Row],[Nat and Combo Bet]],11)))</f>
        <v>150</v>
      </c>
      <c r="S214" s="50" t="str">
        <f t="shared" si="10"/>
        <v/>
      </c>
      <c r="T214" s="50">
        <f t="shared" si="11"/>
        <v>-150</v>
      </c>
      <c r="U214" s="50" t="str">
        <f>IF(Table13232[[#This Row],[Date]]&lt;$U$4,"","Live")</f>
        <v/>
      </c>
      <c r="V214" s="45" t="str">
        <f>TEXT(Table13232[[#This Row],[Date]],"DDD")</f>
        <v>Sat</v>
      </c>
      <c r="W214" s="45" t="str">
        <f>PROPER(TRIM(Table13232[[#This Row],[Horse]]))</f>
        <v>Big Swinger</v>
      </c>
    </row>
    <row r="215" spans="1:23" x14ac:dyDescent="0.25">
      <c r="A215" s="43">
        <v>45759</v>
      </c>
      <c r="B215" s="44">
        <v>0.59722222222222221</v>
      </c>
      <c r="C215" s="44" t="s">
        <v>44</v>
      </c>
      <c r="D215" s="45">
        <v>5</v>
      </c>
      <c r="E215" s="45">
        <v>3</v>
      </c>
      <c r="F215" s="46" t="s">
        <v>401</v>
      </c>
      <c r="G215" s="46" t="s">
        <v>22</v>
      </c>
      <c r="H215" s="47"/>
      <c r="I215" s="52" t="s">
        <v>297</v>
      </c>
      <c r="J215" s="45" t="str">
        <f>VLOOKUP(Table13232[[#This Row],[Track]],$C$836:$E$882,2,FALSE)</f>
        <v>Vic</v>
      </c>
      <c r="K215" s="49">
        <v>100</v>
      </c>
      <c r="L215" s="45" t="str">
        <f>IF(Table13232[[#This Row],[Fin]]&lt;&gt;"1st","",Table13232[[#This Row],[Div]]*Table13232[[#This Row],[Lev Bet]])</f>
        <v/>
      </c>
      <c r="M215" s="45">
        <f>IF(Table13232[[#This Row],[Lev Ret]]="",Table13232[[#This Row],[Lev Bet]]*-1,L215-K215)</f>
        <v>-100</v>
      </c>
      <c r="N215" s="135">
        <v>50</v>
      </c>
      <c r="O215" s="135" t="str">
        <f>IF(Table13232[[#This Row],[Fin]]&lt;&gt;"1st","",Table13232[[#This Row],[Div]]*Table13232[[#This Row],[Nat and Combo Bet]])</f>
        <v/>
      </c>
      <c r="P215" s="135">
        <f>IF(Table13232[[#This Row],[Lev Ret]]="",Table13232[[#This Row],[Nat and Combo Bet]]*-1,O215-N215)</f>
        <v>-50</v>
      </c>
      <c r="Q215" s="50">
        <f t="shared" si="9"/>
        <v>1</v>
      </c>
      <c r="R215" s="50">
        <f>IF(AND(Q214=2,Q215=1),"",IF(Q215=2,(N215+N216)/2,IF(Table13232[[#This Row],[Dual Listing]]=1,Table13232[[#This Row],[Nat and Combo Bet]],11)))</f>
        <v>50</v>
      </c>
      <c r="S215" s="50" t="str">
        <f t="shared" si="10"/>
        <v/>
      </c>
      <c r="T215" s="50">
        <f t="shared" si="11"/>
        <v>-50</v>
      </c>
      <c r="U215" s="50" t="str">
        <f>IF(Table13232[[#This Row],[Date]]&lt;$U$4,"","Live")</f>
        <v/>
      </c>
      <c r="V215" s="45" t="str">
        <f>TEXT(Table13232[[#This Row],[Date]],"DDD")</f>
        <v>Sat</v>
      </c>
      <c r="W215" s="45" t="str">
        <f>PROPER(TRIM(Table13232[[#This Row],[Horse]]))</f>
        <v>Sweethearted</v>
      </c>
    </row>
    <row r="216" spans="1:23" x14ac:dyDescent="0.25">
      <c r="A216" s="43">
        <v>45759</v>
      </c>
      <c r="B216" s="44">
        <v>0.61111111111111116</v>
      </c>
      <c r="C216" s="44" t="s">
        <v>13</v>
      </c>
      <c r="D216" s="45">
        <v>6</v>
      </c>
      <c r="E216" s="45">
        <v>2</v>
      </c>
      <c r="F216" s="46" t="s">
        <v>151</v>
      </c>
      <c r="G216" s="46" t="s">
        <v>21</v>
      </c>
      <c r="H216" s="47">
        <v>1.6</v>
      </c>
      <c r="I216" s="47" t="s">
        <v>298</v>
      </c>
      <c r="J216" s="45" t="str">
        <f>VLOOKUP(Table13232[[#This Row],[Track]],$C$836:$E$882,2,FALSE)</f>
        <v>NSW</v>
      </c>
      <c r="K216" s="49">
        <v>100</v>
      </c>
      <c r="L216" s="45">
        <f>IF(Table13232[[#This Row],[Fin]]&lt;&gt;"1st","",Table13232[[#This Row],[Div]]*Table13232[[#This Row],[Lev Bet]])</f>
        <v>160</v>
      </c>
      <c r="M216" s="45">
        <f>IF(Table13232[[#This Row],[Lev Ret]]="",Table13232[[#This Row],[Lev Bet]]*-1,L216-K216)</f>
        <v>60</v>
      </c>
      <c r="N216" s="135">
        <v>150</v>
      </c>
      <c r="O216" s="135">
        <f>IF(Table13232[[#This Row],[Fin]]&lt;&gt;"1st","",Table13232[[#This Row],[Div]]*Table13232[[#This Row],[Nat and Combo Bet]])</f>
        <v>240</v>
      </c>
      <c r="P216" s="135">
        <f>IF(Table13232[[#This Row],[Lev Ret]]="",Table13232[[#This Row],[Nat and Combo Bet]]*-1,O216-N216)</f>
        <v>90</v>
      </c>
      <c r="Q216" s="50">
        <f t="shared" si="9"/>
        <v>1</v>
      </c>
      <c r="R216" s="50">
        <f>IF(AND(Q215=2,Q216=1),"",IF(Q216=2,(N216+N217)/2,IF(Table13232[[#This Row],[Dual Listing]]=1,Table13232[[#This Row],[Nat and Combo Bet]],11)))</f>
        <v>150</v>
      </c>
      <c r="S216" s="50">
        <f t="shared" si="10"/>
        <v>240</v>
      </c>
      <c r="T216" s="50">
        <f t="shared" si="11"/>
        <v>90</v>
      </c>
      <c r="U216" s="50" t="str">
        <f>IF(Table13232[[#This Row],[Date]]&lt;$U$4,"","Live")</f>
        <v/>
      </c>
      <c r="V216" s="45" t="str">
        <f>TEXT(Table13232[[#This Row],[Date]],"DDD")</f>
        <v>Sat</v>
      </c>
      <c r="W216" s="45" t="str">
        <f>PROPER(TRIM(Table13232[[#This Row],[Horse]]))</f>
        <v>Treasurethe Moment</v>
      </c>
    </row>
    <row r="217" spans="1:23" x14ac:dyDescent="0.25">
      <c r="A217" s="43">
        <v>45759</v>
      </c>
      <c r="B217" s="44">
        <v>0.62152777777777779</v>
      </c>
      <c r="C217" s="44" t="s">
        <v>44</v>
      </c>
      <c r="D217" s="45">
        <v>6</v>
      </c>
      <c r="E217" s="45">
        <v>7</v>
      </c>
      <c r="F217" s="46" t="s">
        <v>152</v>
      </c>
      <c r="G217" s="46"/>
      <c r="H217" s="47"/>
      <c r="I217" s="47" t="s">
        <v>298</v>
      </c>
      <c r="J217" s="45" t="str">
        <f>VLOOKUP(Table13232[[#This Row],[Track]],$C$836:$E$882,2,FALSE)</f>
        <v>Vic</v>
      </c>
      <c r="K217" s="49">
        <v>100</v>
      </c>
      <c r="L217" s="45" t="str">
        <f>IF(Table13232[[#This Row],[Fin]]&lt;&gt;"1st","",Table13232[[#This Row],[Div]]*Table13232[[#This Row],[Lev Bet]])</f>
        <v/>
      </c>
      <c r="M217" s="45">
        <f>IF(Table13232[[#This Row],[Lev Ret]]="",Table13232[[#This Row],[Lev Bet]]*-1,L217-K217)</f>
        <v>-100</v>
      </c>
      <c r="N217" s="135">
        <v>200</v>
      </c>
      <c r="O217" s="135" t="str">
        <f>IF(Table13232[[#This Row],[Fin]]&lt;&gt;"1st","",Table13232[[#This Row],[Div]]*Table13232[[#This Row],[Nat and Combo Bet]])</f>
        <v/>
      </c>
      <c r="P217" s="135">
        <f>IF(Table13232[[#This Row],[Lev Ret]]="",Table13232[[#This Row],[Nat and Combo Bet]]*-1,O217-N217)</f>
        <v>-200</v>
      </c>
      <c r="Q217" s="50">
        <f t="shared" si="9"/>
        <v>1</v>
      </c>
      <c r="R217" s="50">
        <f>IF(AND(Q216=2,Q217=1),"",IF(Q217=2,(N217+N218)/2,IF(Table13232[[#This Row],[Dual Listing]]=1,Table13232[[#This Row],[Nat and Combo Bet]],11)))</f>
        <v>200</v>
      </c>
      <c r="S217" s="50" t="str">
        <f t="shared" si="10"/>
        <v/>
      </c>
      <c r="T217" s="50">
        <f t="shared" si="11"/>
        <v>-200</v>
      </c>
      <c r="U217" s="50" t="str">
        <f>IF(Table13232[[#This Row],[Date]]&lt;$U$4,"","Live")</f>
        <v/>
      </c>
      <c r="V217" s="45" t="str">
        <f>TEXT(Table13232[[#This Row],[Date]],"DDD")</f>
        <v>Sat</v>
      </c>
      <c r="W217" s="45" t="str">
        <f>PROPER(TRIM(Table13232[[#This Row],[Horse]]))</f>
        <v>Harry Got Styles</v>
      </c>
    </row>
    <row r="218" spans="1:23" x14ac:dyDescent="0.25">
      <c r="A218" s="43">
        <v>45759</v>
      </c>
      <c r="B218" s="44">
        <v>0.66319444444444442</v>
      </c>
      <c r="C218" s="44" t="s">
        <v>13</v>
      </c>
      <c r="D218" s="45">
        <v>8</v>
      </c>
      <c r="E218" s="45">
        <v>12</v>
      </c>
      <c r="F218" s="46" t="s">
        <v>129</v>
      </c>
      <c r="G218" s="46" t="s">
        <v>21</v>
      </c>
      <c r="H218" s="47">
        <v>2.1</v>
      </c>
      <c r="I218" s="47" t="s">
        <v>298</v>
      </c>
      <c r="J218" s="45" t="str">
        <f>VLOOKUP(Table13232[[#This Row],[Track]],$C$836:$E$882,2,FALSE)</f>
        <v>NSW</v>
      </c>
      <c r="K218" s="49">
        <v>100</v>
      </c>
      <c r="L218" s="45">
        <f>IF(Table13232[[#This Row],[Fin]]&lt;&gt;"1st","",Table13232[[#This Row],[Div]]*Table13232[[#This Row],[Lev Bet]])</f>
        <v>210</v>
      </c>
      <c r="M218" s="45">
        <f>IF(Table13232[[#This Row],[Lev Ret]]="",Table13232[[#This Row],[Lev Bet]]*-1,L218-K218)</f>
        <v>110</v>
      </c>
      <c r="N218" s="135">
        <v>150</v>
      </c>
      <c r="O218" s="135">
        <f>IF(Table13232[[#This Row],[Fin]]&lt;&gt;"1st","",Table13232[[#This Row],[Div]]*Table13232[[#This Row],[Nat and Combo Bet]])</f>
        <v>315</v>
      </c>
      <c r="P218" s="135">
        <f>IF(Table13232[[#This Row],[Lev Ret]]="",Table13232[[#This Row],[Nat and Combo Bet]]*-1,O218-N218)</f>
        <v>165</v>
      </c>
      <c r="Q218" s="50">
        <f t="shared" si="9"/>
        <v>1</v>
      </c>
      <c r="R218" s="50">
        <f>IF(AND(Q217=2,Q218=1),"",IF(Q218=2,(N218+N219)/2,IF(Table13232[[#This Row],[Dual Listing]]=1,Table13232[[#This Row],[Nat and Combo Bet]],11)))</f>
        <v>150</v>
      </c>
      <c r="S218" s="50">
        <f t="shared" si="10"/>
        <v>315</v>
      </c>
      <c r="T218" s="50">
        <f t="shared" si="11"/>
        <v>165</v>
      </c>
      <c r="U218" s="50" t="str">
        <f>IF(Table13232[[#This Row],[Date]]&lt;$U$4,"","Live")</f>
        <v/>
      </c>
      <c r="V218" s="45" t="str">
        <f>TEXT(Table13232[[#This Row],[Date]],"DDD")</f>
        <v>Sat</v>
      </c>
      <c r="W218" s="45" t="str">
        <f>PROPER(TRIM(Table13232[[#This Row],[Horse]]))</f>
        <v>Via Sistina</v>
      </c>
    </row>
    <row r="219" spans="1:23" x14ac:dyDescent="0.25">
      <c r="A219" s="43">
        <v>45759</v>
      </c>
      <c r="B219" s="44">
        <v>0.71527777777777779</v>
      </c>
      <c r="C219" s="44" t="s">
        <v>13</v>
      </c>
      <c r="D219" s="45">
        <v>10</v>
      </c>
      <c r="E219" s="45">
        <v>3</v>
      </c>
      <c r="F219" s="46" t="s">
        <v>402</v>
      </c>
      <c r="G219" s="46"/>
      <c r="H219" s="47"/>
      <c r="I219" s="52" t="s">
        <v>297</v>
      </c>
      <c r="J219" s="45" t="str">
        <f>VLOOKUP(Table13232[[#This Row],[Track]],$C$836:$E$882,2,FALSE)</f>
        <v>NSW</v>
      </c>
      <c r="K219" s="49">
        <v>100</v>
      </c>
      <c r="L219" s="45" t="str">
        <f>IF(Table13232[[#This Row],[Fin]]&lt;&gt;"1st","",Table13232[[#This Row],[Div]]*Table13232[[#This Row],[Lev Bet]])</f>
        <v/>
      </c>
      <c r="M219" s="45">
        <f>IF(Table13232[[#This Row],[Lev Ret]]="",Table13232[[#This Row],[Lev Bet]]*-1,L219-K219)</f>
        <v>-100</v>
      </c>
      <c r="N219" s="135">
        <v>150</v>
      </c>
      <c r="O219" s="135" t="str">
        <f>IF(Table13232[[#This Row],[Fin]]&lt;&gt;"1st","",Table13232[[#This Row],[Div]]*Table13232[[#This Row],[Nat and Combo Bet]])</f>
        <v/>
      </c>
      <c r="P219" s="135">
        <f>IF(Table13232[[#This Row],[Lev Ret]]="",Table13232[[#This Row],[Nat and Combo Bet]]*-1,O219-N219)</f>
        <v>-150</v>
      </c>
      <c r="Q219" s="50">
        <f t="shared" si="9"/>
        <v>1</v>
      </c>
      <c r="R219" s="50">
        <f>IF(AND(Q218=2,Q219=1),"",IF(Q219=2,(N219+N220)/2,IF(Table13232[[#This Row],[Dual Listing]]=1,Table13232[[#This Row],[Nat and Combo Bet]],11)))</f>
        <v>150</v>
      </c>
      <c r="S219" s="50" t="str">
        <f t="shared" si="10"/>
        <v/>
      </c>
      <c r="T219" s="50">
        <f t="shared" si="11"/>
        <v>-150</v>
      </c>
      <c r="U219" s="50" t="str">
        <f>IF(Table13232[[#This Row],[Date]]&lt;$U$4,"","Live")</f>
        <v/>
      </c>
      <c r="V219" s="45" t="str">
        <f>TEXT(Table13232[[#This Row],[Date]],"DDD")</f>
        <v>Sat</v>
      </c>
      <c r="W219" s="45" t="str">
        <f>PROPER(TRIM(Table13232[[#This Row],[Horse]]))</f>
        <v>Olentia</v>
      </c>
    </row>
    <row r="220" spans="1:23" x14ac:dyDescent="0.25">
      <c r="A220" s="43">
        <v>45759</v>
      </c>
      <c r="B220" s="44">
        <v>0.72569444444444442</v>
      </c>
      <c r="C220" s="44" t="s">
        <v>44</v>
      </c>
      <c r="D220" s="45">
        <v>10</v>
      </c>
      <c r="E220" s="45">
        <v>12</v>
      </c>
      <c r="F220" s="46" t="s">
        <v>403</v>
      </c>
      <c r="G220" s="46" t="s">
        <v>22</v>
      </c>
      <c r="H220" s="47"/>
      <c r="I220" s="52" t="s">
        <v>297</v>
      </c>
      <c r="J220" s="45" t="str">
        <f>VLOOKUP(Table13232[[#This Row],[Track]],$C$836:$E$882,2,FALSE)</f>
        <v>Vic</v>
      </c>
      <c r="K220" s="49">
        <v>100</v>
      </c>
      <c r="L220" s="45" t="str">
        <f>IF(Table13232[[#This Row],[Fin]]&lt;&gt;"1st","",Table13232[[#This Row],[Div]]*Table13232[[#This Row],[Lev Bet]])</f>
        <v/>
      </c>
      <c r="M220" s="45">
        <f>IF(Table13232[[#This Row],[Lev Ret]]="",Table13232[[#This Row],[Lev Bet]]*-1,L220-K220)</f>
        <v>-100</v>
      </c>
      <c r="N220" s="135">
        <v>100</v>
      </c>
      <c r="O220" s="135" t="str">
        <f>IF(Table13232[[#This Row],[Fin]]&lt;&gt;"1st","",Table13232[[#This Row],[Div]]*Table13232[[#This Row],[Nat and Combo Bet]])</f>
        <v/>
      </c>
      <c r="P220" s="135">
        <f>IF(Table13232[[#This Row],[Lev Ret]]="",Table13232[[#This Row],[Nat and Combo Bet]]*-1,O220-N220)</f>
        <v>-100</v>
      </c>
      <c r="Q220" s="50">
        <f t="shared" si="9"/>
        <v>1</v>
      </c>
      <c r="R220" s="50">
        <f>IF(AND(Q219=2,Q220=1),"",IF(Q220=2,(N220+N221)/2,IF(Table13232[[#This Row],[Dual Listing]]=1,Table13232[[#This Row],[Nat and Combo Bet]],11)))</f>
        <v>100</v>
      </c>
      <c r="S220" s="50" t="str">
        <f t="shared" si="10"/>
        <v/>
      </c>
      <c r="T220" s="50">
        <f t="shared" si="11"/>
        <v>-100</v>
      </c>
      <c r="U220" s="50" t="str">
        <f>IF(Table13232[[#This Row],[Date]]&lt;$U$4,"","Live")</f>
        <v/>
      </c>
      <c r="V220" s="45" t="str">
        <f>TEXT(Table13232[[#This Row],[Date]],"DDD")</f>
        <v>Sat</v>
      </c>
      <c r="W220" s="45" t="str">
        <f>PROPER(TRIM(Table13232[[#This Row],[Horse]]))</f>
        <v>Pivot City</v>
      </c>
    </row>
    <row r="221" spans="1:23" x14ac:dyDescent="0.25">
      <c r="A221" s="43">
        <v>45766</v>
      </c>
      <c r="B221" s="44">
        <v>0.47569444444444442</v>
      </c>
      <c r="C221" s="44" t="s">
        <v>13</v>
      </c>
      <c r="D221" s="45">
        <v>1</v>
      </c>
      <c r="E221" s="45">
        <v>12</v>
      </c>
      <c r="F221" s="46" t="s">
        <v>404</v>
      </c>
      <c r="G221" s="46"/>
      <c r="H221" s="47"/>
      <c r="I221" s="52" t="s">
        <v>297</v>
      </c>
      <c r="J221" s="45" t="str">
        <f>VLOOKUP(Table13232[[#This Row],[Track]],$C$836:$E$882,2,FALSE)</f>
        <v>NSW</v>
      </c>
      <c r="K221" s="49">
        <v>100</v>
      </c>
      <c r="L221" s="45" t="str">
        <f>IF(Table13232[[#This Row],[Fin]]&lt;&gt;"1st","",Table13232[[#This Row],[Div]]*Table13232[[#This Row],[Lev Bet]])</f>
        <v/>
      </c>
      <c r="M221" s="45">
        <f>IF(Table13232[[#This Row],[Lev Ret]]="",Table13232[[#This Row],[Lev Bet]]*-1,L221-K221)</f>
        <v>-100</v>
      </c>
      <c r="N221" s="135">
        <v>150</v>
      </c>
      <c r="O221" s="135" t="str">
        <f>IF(Table13232[[#This Row],[Fin]]&lt;&gt;"1st","",Table13232[[#This Row],[Div]]*Table13232[[#This Row],[Nat and Combo Bet]])</f>
        <v/>
      </c>
      <c r="P221" s="135">
        <f>IF(Table13232[[#This Row],[Lev Ret]]="",Table13232[[#This Row],[Nat and Combo Bet]]*-1,O221-N221)</f>
        <v>-150</v>
      </c>
      <c r="Q221" s="50">
        <f t="shared" si="9"/>
        <v>1</v>
      </c>
      <c r="R221" s="50">
        <f>IF(AND(Q220=2,Q221=1),"",IF(Q221=2,(N221+N222)/2,IF(Table13232[[#This Row],[Dual Listing]]=1,Table13232[[#This Row],[Nat and Combo Bet]],11)))</f>
        <v>150</v>
      </c>
      <c r="S221" s="50" t="str">
        <f t="shared" si="10"/>
        <v/>
      </c>
      <c r="T221" s="50">
        <f t="shared" si="11"/>
        <v>-150</v>
      </c>
      <c r="U221" s="50" t="str">
        <f>IF(Table13232[[#This Row],[Date]]&lt;$U$4,"","Live")</f>
        <v/>
      </c>
      <c r="V221" s="45" t="str">
        <f>TEXT(Table13232[[#This Row],[Date]],"DDD")</f>
        <v>Sat</v>
      </c>
      <c r="W221" s="45" t="str">
        <f>PROPER(TRIM(Table13232[[#This Row],[Horse]]))</f>
        <v>Starboard</v>
      </c>
    </row>
    <row r="222" spans="1:23" x14ac:dyDescent="0.25">
      <c r="A222" s="43">
        <v>45766</v>
      </c>
      <c r="B222" s="44">
        <v>0.48125000000000001</v>
      </c>
      <c r="C222" s="44" t="s">
        <v>12</v>
      </c>
      <c r="D222" s="45">
        <v>2</v>
      </c>
      <c r="E222" s="45">
        <v>8</v>
      </c>
      <c r="F222" s="46" t="s">
        <v>153</v>
      </c>
      <c r="G222" s="46"/>
      <c r="H222" s="47"/>
      <c r="I222" s="47" t="s">
        <v>298</v>
      </c>
      <c r="J222" s="45" t="str">
        <f>VLOOKUP(Table13232[[#This Row],[Track]],$C$836:$E$882,2,FALSE)</f>
        <v>Qld</v>
      </c>
      <c r="K222" s="49">
        <v>100</v>
      </c>
      <c r="L222" s="45" t="str">
        <f>IF(Table13232[[#This Row],[Fin]]&lt;&gt;"1st","",Table13232[[#This Row],[Div]]*Table13232[[#This Row],[Lev Bet]])</f>
        <v/>
      </c>
      <c r="M222" s="45">
        <f>IF(Table13232[[#This Row],[Lev Ret]]="",Table13232[[#This Row],[Lev Bet]]*-1,L222-K222)</f>
        <v>-100</v>
      </c>
      <c r="N222" s="135">
        <v>100</v>
      </c>
      <c r="O222" s="135" t="str">
        <f>IF(Table13232[[#This Row],[Fin]]&lt;&gt;"1st","",Table13232[[#This Row],[Div]]*Table13232[[#This Row],[Nat and Combo Bet]])</f>
        <v/>
      </c>
      <c r="P222" s="135">
        <f>IF(Table13232[[#This Row],[Lev Ret]]="",Table13232[[#This Row],[Nat and Combo Bet]]*-1,O222-N222)</f>
        <v>-100</v>
      </c>
      <c r="Q222" s="50">
        <f t="shared" si="9"/>
        <v>1</v>
      </c>
      <c r="R222" s="50">
        <f>IF(AND(Q221=2,Q222=1),"",IF(Q222=2,(N222+N223)/2,IF(Table13232[[#This Row],[Dual Listing]]=1,Table13232[[#This Row],[Nat and Combo Bet]],11)))</f>
        <v>100</v>
      </c>
      <c r="S222" s="50" t="str">
        <f t="shared" si="10"/>
        <v/>
      </c>
      <c r="T222" s="50">
        <f t="shared" si="11"/>
        <v>-100</v>
      </c>
      <c r="U222" s="50" t="str">
        <f>IF(Table13232[[#This Row],[Date]]&lt;$U$4,"","Live")</f>
        <v/>
      </c>
      <c r="V222" s="45" t="str">
        <f>TEXT(Table13232[[#This Row],[Date]],"DDD")</f>
        <v>Sat</v>
      </c>
      <c r="W222" s="45" t="str">
        <f>PROPER(TRIM(Table13232[[#This Row],[Horse]]))</f>
        <v>The Right Way</v>
      </c>
    </row>
    <row r="223" spans="1:23" x14ac:dyDescent="0.25">
      <c r="A223" s="43">
        <v>45766</v>
      </c>
      <c r="B223" s="44">
        <v>0.50555555555555554</v>
      </c>
      <c r="C223" s="44" t="s">
        <v>12</v>
      </c>
      <c r="D223" s="45">
        <v>3</v>
      </c>
      <c r="E223" s="45">
        <v>10</v>
      </c>
      <c r="F223" s="46" t="s">
        <v>69</v>
      </c>
      <c r="G223" s="46"/>
      <c r="H223" s="47"/>
      <c r="I223" s="47" t="s">
        <v>298</v>
      </c>
      <c r="J223" s="45" t="str">
        <f>VLOOKUP(Table13232[[#This Row],[Track]],$C$836:$E$882,2,FALSE)</f>
        <v>Qld</v>
      </c>
      <c r="K223" s="49">
        <v>100</v>
      </c>
      <c r="L223" s="45" t="str">
        <f>IF(Table13232[[#This Row],[Fin]]&lt;&gt;"1st","",Table13232[[#This Row],[Div]]*Table13232[[#This Row],[Lev Bet]])</f>
        <v/>
      </c>
      <c r="M223" s="45">
        <f>IF(Table13232[[#This Row],[Lev Ret]]="",Table13232[[#This Row],[Lev Bet]]*-1,L223-K223)</f>
        <v>-100</v>
      </c>
      <c r="N223" s="135">
        <v>100</v>
      </c>
      <c r="O223" s="135" t="str">
        <f>IF(Table13232[[#This Row],[Fin]]&lt;&gt;"1st","",Table13232[[#This Row],[Div]]*Table13232[[#This Row],[Nat and Combo Bet]])</f>
        <v/>
      </c>
      <c r="P223" s="135">
        <f>IF(Table13232[[#This Row],[Lev Ret]]="",Table13232[[#This Row],[Nat and Combo Bet]]*-1,O223-N223)</f>
        <v>-100</v>
      </c>
      <c r="Q223" s="50">
        <f t="shared" si="9"/>
        <v>1</v>
      </c>
      <c r="R223" s="50">
        <f>IF(AND(Q222=2,Q223=1),"",IF(Q223=2,(N223+N224)/2,IF(Table13232[[#This Row],[Dual Listing]]=1,Table13232[[#This Row],[Nat and Combo Bet]],11)))</f>
        <v>100</v>
      </c>
      <c r="S223" s="50" t="str">
        <f t="shared" si="10"/>
        <v/>
      </c>
      <c r="T223" s="50">
        <f t="shared" si="11"/>
        <v>-100</v>
      </c>
      <c r="U223" s="50" t="str">
        <f>IF(Table13232[[#This Row],[Date]]&lt;$U$4,"","Live")</f>
        <v/>
      </c>
      <c r="V223" s="45" t="str">
        <f>TEXT(Table13232[[#This Row],[Date]],"DDD")</f>
        <v>Sat</v>
      </c>
      <c r="W223" s="45" t="str">
        <f>PROPER(TRIM(Table13232[[#This Row],[Horse]]))</f>
        <v>Arisphere</v>
      </c>
    </row>
    <row r="224" spans="1:23" x14ac:dyDescent="0.25">
      <c r="A224" s="43">
        <v>45766</v>
      </c>
      <c r="B224" s="44">
        <v>0.53819444444444442</v>
      </c>
      <c r="C224" s="44" t="s">
        <v>24</v>
      </c>
      <c r="D224" s="45">
        <v>3</v>
      </c>
      <c r="E224" s="45">
        <v>8</v>
      </c>
      <c r="F224" s="46" t="s">
        <v>405</v>
      </c>
      <c r="G224" s="46" t="s">
        <v>22</v>
      </c>
      <c r="H224" s="47"/>
      <c r="I224" s="52" t="s">
        <v>297</v>
      </c>
      <c r="J224" s="45" t="str">
        <f>VLOOKUP(Table13232[[#This Row],[Track]],$C$836:$E$882,2,FALSE)</f>
        <v>Vic</v>
      </c>
      <c r="K224" s="49">
        <v>100</v>
      </c>
      <c r="L224" s="45" t="str">
        <f>IF(Table13232[[#This Row],[Fin]]&lt;&gt;"1st","",Table13232[[#This Row],[Div]]*Table13232[[#This Row],[Lev Bet]])</f>
        <v/>
      </c>
      <c r="M224" s="45">
        <f>IF(Table13232[[#This Row],[Lev Ret]]="",Table13232[[#This Row],[Lev Bet]]*-1,L224-K224)</f>
        <v>-100</v>
      </c>
      <c r="N224" s="135">
        <v>150</v>
      </c>
      <c r="O224" s="135" t="str">
        <f>IF(Table13232[[#This Row],[Fin]]&lt;&gt;"1st","",Table13232[[#This Row],[Div]]*Table13232[[#This Row],[Nat and Combo Bet]])</f>
        <v/>
      </c>
      <c r="P224" s="135">
        <f>IF(Table13232[[#This Row],[Lev Ret]]="",Table13232[[#This Row],[Nat and Combo Bet]]*-1,O224-N224)</f>
        <v>-150</v>
      </c>
      <c r="Q224" s="50">
        <f t="shared" si="9"/>
        <v>1</v>
      </c>
      <c r="R224" s="50">
        <f>IF(AND(Q223=2,Q224=1),"",IF(Q224=2,(N224+N225)/2,IF(Table13232[[#This Row],[Dual Listing]]=1,Table13232[[#This Row],[Nat and Combo Bet]],11)))</f>
        <v>150</v>
      </c>
      <c r="S224" s="50" t="str">
        <f t="shared" si="10"/>
        <v/>
      </c>
      <c r="T224" s="50">
        <f t="shared" si="11"/>
        <v>-150</v>
      </c>
      <c r="U224" s="50" t="str">
        <f>IF(Table13232[[#This Row],[Date]]&lt;$U$4,"","Live")</f>
        <v/>
      </c>
      <c r="V224" s="45" t="str">
        <f>TEXT(Table13232[[#This Row],[Date]],"DDD")</f>
        <v>Sat</v>
      </c>
      <c r="W224" s="45" t="str">
        <f>PROPER(TRIM(Table13232[[#This Row],[Horse]]))</f>
        <v>Fiasco Tess</v>
      </c>
    </row>
    <row r="225" spans="1:23" x14ac:dyDescent="0.25">
      <c r="A225" s="43">
        <v>45766</v>
      </c>
      <c r="B225" s="44">
        <v>0.53819444444444442</v>
      </c>
      <c r="C225" s="44" t="s">
        <v>24</v>
      </c>
      <c r="D225" s="45">
        <v>3</v>
      </c>
      <c r="E225" s="45">
        <v>2</v>
      </c>
      <c r="F225" s="46" t="s">
        <v>391</v>
      </c>
      <c r="G225" s="46" t="s">
        <v>21</v>
      </c>
      <c r="H225" s="47">
        <v>2.35</v>
      </c>
      <c r="I225" s="52" t="s">
        <v>297</v>
      </c>
      <c r="J225" s="45" t="str">
        <f>VLOOKUP(Table13232[[#This Row],[Track]],$C$836:$E$882,2,FALSE)</f>
        <v>Vic</v>
      </c>
      <c r="K225" s="49">
        <v>100</v>
      </c>
      <c r="L225" s="45">
        <f>IF(Table13232[[#This Row],[Fin]]&lt;&gt;"1st","",Table13232[[#This Row],[Div]]*Table13232[[#This Row],[Lev Bet]])</f>
        <v>235</v>
      </c>
      <c r="M225" s="45">
        <f>IF(Table13232[[#This Row],[Lev Ret]]="",Table13232[[#This Row],[Lev Bet]]*-1,L225-K225)</f>
        <v>135</v>
      </c>
      <c r="N225" s="135">
        <v>120</v>
      </c>
      <c r="O225" s="135">
        <f>IF(Table13232[[#This Row],[Fin]]&lt;&gt;"1st","",Table13232[[#This Row],[Div]]*Table13232[[#This Row],[Nat and Combo Bet]])</f>
        <v>282</v>
      </c>
      <c r="P225" s="135">
        <f>IF(Table13232[[#This Row],[Lev Ret]]="",Table13232[[#This Row],[Nat and Combo Bet]]*-1,O225-N225)</f>
        <v>162</v>
      </c>
      <c r="Q225" s="50">
        <f t="shared" si="9"/>
        <v>1</v>
      </c>
      <c r="R225" s="50">
        <f>IF(AND(Q224=2,Q225=1),"",IF(Q225=2,(N225+N226)/2,IF(Table13232[[#This Row],[Dual Listing]]=1,Table13232[[#This Row],[Nat and Combo Bet]],11)))</f>
        <v>120</v>
      </c>
      <c r="S225" s="50">
        <f t="shared" si="10"/>
        <v>282</v>
      </c>
      <c r="T225" s="50">
        <f t="shared" si="11"/>
        <v>162</v>
      </c>
      <c r="U225" s="50" t="str">
        <f>IF(Table13232[[#This Row],[Date]]&lt;$U$4,"","Live")</f>
        <v/>
      </c>
      <c r="V225" s="45" t="str">
        <f>TEXT(Table13232[[#This Row],[Date]],"DDD")</f>
        <v>Sat</v>
      </c>
      <c r="W225" s="45" t="str">
        <f>PROPER(TRIM(Table13232[[#This Row],[Horse]]))</f>
        <v>Verdad</v>
      </c>
    </row>
    <row r="226" spans="1:23" x14ac:dyDescent="0.25">
      <c r="A226" s="43">
        <v>45766</v>
      </c>
      <c r="B226" s="44">
        <v>0.5625</v>
      </c>
      <c r="C226" s="44" t="s">
        <v>24</v>
      </c>
      <c r="D226" s="45">
        <v>4</v>
      </c>
      <c r="E226" s="45">
        <v>3</v>
      </c>
      <c r="F226" s="46" t="s">
        <v>406</v>
      </c>
      <c r="G226" s="46" t="s">
        <v>23</v>
      </c>
      <c r="H226" s="47"/>
      <c r="I226" s="52" t="s">
        <v>297</v>
      </c>
      <c r="J226" s="45" t="str">
        <f>VLOOKUP(Table13232[[#This Row],[Track]],$C$836:$E$882,2,FALSE)</f>
        <v>Vic</v>
      </c>
      <c r="K226" s="49">
        <v>100</v>
      </c>
      <c r="L226" s="45" t="str">
        <f>IF(Table13232[[#This Row],[Fin]]&lt;&gt;"1st","",Table13232[[#This Row],[Div]]*Table13232[[#This Row],[Lev Bet]])</f>
        <v/>
      </c>
      <c r="M226" s="45">
        <f>IF(Table13232[[#This Row],[Lev Ret]]="",Table13232[[#This Row],[Lev Bet]]*-1,L226-K226)</f>
        <v>-100</v>
      </c>
      <c r="N226" s="135">
        <v>100</v>
      </c>
      <c r="O226" s="135" t="str">
        <f>IF(Table13232[[#This Row],[Fin]]&lt;&gt;"1st","",Table13232[[#This Row],[Div]]*Table13232[[#This Row],[Nat and Combo Bet]])</f>
        <v/>
      </c>
      <c r="P226" s="135">
        <f>IF(Table13232[[#This Row],[Lev Ret]]="",Table13232[[#This Row],[Nat and Combo Bet]]*-1,O226-N226)</f>
        <v>-100</v>
      </c>
      <c r="Q226" s="50">
        <f t="shared" si="9"/>
        <v>1</v>
      </c>
      <c r="R226" s="50">
        <f>IF(AND(Q225=2,Q226=1),"",IF(Q226=2,(N226+N227)/2,IF(Table13232[[#This Row],[Dual Listing]]=1,Table13232[[#This Row],[Nat and Combo Bet]],11)))</f>
        <v>100</v>
      </c>
      <c r="S226" s="50" t="str">
        <f t="shared" si="10"/>
        <v/>
      </c>
      <c r="T226" s="50">
        <f t="shared" si="11"/>
        <v>-100</v>
      </c>
      <c r="U226" s="50" t="str">
        <f>IF(Table13232[[#This Row],[Date]]&lt;$U$4,"","Live")</f>
        <v/>
      </c>
      <c r="V226" s="45" t="str">
        <f>TEXT(Table13232[[#This Row],[Date]],"DDD")</f>
        <v>Sat</v>
      </c>
      <c r="W226" s="45" t="str">
        <f>PROPER(TRIM(Table13232[[#This Row],[Horse]]))</f>
        <v>Foujita San</v>
      </c>
    </row>
    <row r="227" spans="1:23" x14ac:dyDescent="0.25">
      <c r="A227" s="43">
        <v>45766</v>
      </c>
      <c r="B227" s="44">
        <v>0.60069444444444442</v>
      </c>
      <c r="C227" s="44" t="s">
        <v>13</v>
      </c>
      <c r="D227" s="45">
        <v>6</v>
      </c>
      <c r="E227" s="45">
        <v>6</v>
      </c>
      <c r="F227" s="46" t="s">
        <v>407</v>
      </c>
      <c r="G227" s="46" t="s">
        <v>22</v>
      </c>
      <c r="H227" s="47"/>
      <c r="I227" s="52" t="s">
        <v>297</v>
      </c>
      <c r="J227" s="45" t="str">
        <f>VLOOKUP(Table13232[[#This Row],[Track]],$C$836:$E$882,2,FALSE)</f>
        <v>NSW</v>
      </c>
      <c r="K227" s="49">
        <v>100</v>
      </c>
      <c r="L227" s="45" t="str">
        <f>IF(Table13232[[#This Row],[Fin]]&lt;&gt;"1st","",Table13232[[#This Row],[Div]]*Table13232[[#This Row],[Lev Bet]])</f>
        <v/>
      </c>
      <c r="M227" s="45">
        <f>IF(Table13232[[#This Row],[Lev Ret]]="",Table13232[[#This Row],[Lev Bet]]*-1,L227-K227)</f>
        <v>-100</v>
      </c>
      <c r="N227" s="135">
        <v>150</v>
      </c>
      <c r="O227" s="135" t="str">
        <f>IF(Table13232[[#This Row],[Fin]]&lt;&gt;"1st","",Table13232[[#This Row],[Div]]*Table13232[[#This Row],[Nat and Combo Bet]])</f>
        <v/>
      </c>
      <c r="P227" s="135">
        <f>IF(Table13232[[#This Row],[Lev Ret]]="",Table13232[[#This Row],[Nat and Combo Bet]]*-1,O227-N227)</f>
        <v>-150</v>
      </c>
      <c r="Q227" s="50">
        <f t="shared" si="9"/>
        <v>1</v>
      </c>
      <c r="R227" s="50">
        <f>IF(AND(Q226=2,Q227=1),"",IF(Q227=2,(N227+N228)/2,IF(Table13232[[#This Row],[Dual Listing]]=1,Table13232[[#This Row],[Nat and Combo Bet]],11)))</f>
        <v>150</v>
      </c>
      <c r="S227" s="50" t="str">
        <f t="shared" si="10"/>
        <v/>
      </c>
      <c r="T227" s="50">
        <f t="shared" si="11"/>
        <v>-150</v>
      </c>
      <c r="U227" s="50" t="str">
        <f>IF(Table13232[[#This Row],[Date]]&lt;$U$4,"","Live")</f>
        <v/>
      </c>
      <c r="V227" s="45" t="str">
        <f>TEXT(Table13232[[#This Row],[Date]],"DDD")</f>
        <v>Sat</v>
      </c>
      <c r="W227" s="45" t="str">
        <f>PROPER(TRIM(Table13232[[#This Row],[Horse]]))</f>
        <v>New Endeavour</v>
      </c>
    </row>
    <row r="228" spans="1:23" x14ac:dyDescent="0.25">
      <c r="A228" s="109">
        <v>45766</v>
      </c>
      <c r="B228" s="53">
        <v>0.61111111111111116</v>
      </c>
      <c r="C228" s="110" t="s">
        <v>24</v>
      </c>
      <c r="D228" s="111">
        <v>6</v>
      </c>
      <c r="E228" s="111">
        <v>5</v>
      </c>
      <c r="F228" s="112" t="s">
        <v>142</v>
      </c>
      <c r="G228" s="112" t="s">
        <v>23</v>
      </c>
      <c r="H228" s="113"/>
      <c r="I228" s="114" t="s">
        <v>297</v>
      </c>
      <c r="J228" s="45" t="str">
        <f>VLOOKUP(Table13232[[#This Row],[Track]],$C$836:$E$882,2,FALSE)</f>
        <v>Vic</v>
      </c>
      <c r="K228" s="55">
        <v>100</v>
      </c>
      <c r="L228" s="54" t="str">
        <f>IF(Table13232[[#This Row],[Fin]]&lt;&gt;"1st","",Table13232[[#This Row],[Div]]*Table13232[[#This Row],[Lev Bet]])</f>
        <v/>
      </c>
      <c r="M228" s="54">
        <f>IF(Table13232[[#This Row],[Lev Ret]]="",Table13232[[#This Row],[Lev Bet]]*-1,L228-K228)</f>
        <v>-100</v>
      </c>
      <c r="N228" s="135">
        <v>50</v>
      </c>
      <c r="O228" s="135" t="str">
        <f>IF(Table13232[[#This Row],[Fin]]&lt;&gt;"1st","",Table13232[[#This Row],[Div]]*Table13232[[#This Row],[Nat and Combo Bet]])</f>
        <v/>
      </c>
      <c r="P228" s="135">
        <f>IF(Table13232[[#This Row],[Lev Ret]]="",Table13232[[#This Row],[Nat and Combo Bet]]*-1,O228-N228)</f>
        <v>-50</v>
      </c>
      <c r="Q228" s="50">
        <f t="shared" si="9"/>
        <v>2</v>
      </c>
      <c r="R228" s="50">
        <f>IF(AND(Q227=2,Q228=1),"",IF(Q228=2,(N228+N229)/2,IF(Table13232[[#This Row],[Dual Listing]]=1,Table13232[[#This Row],[Nat and Combo Bet]],11)))</f>
        <v>100</v>
      </c>
      <c r="S228" s="50" t="str">
        <f t="shared" si="10"/>
        <v/>
      </c>
      <c r="T228" s="50">
        <f t="shared" si="11"/>
        <v>-100</v>
      </c>
      <c r="U228" s="50" t="str">
        <f>IF(Table13232[[#This Row],[Date]]&lt;$U$4,"","Live")</f>
        <v/>
      </c>
      <c r="V228" s="45" t="str">
        <f>TEXT(Table13232[[#This Row],[Date]],"DDD")</f>
        <v>Sat</v>
      </c>
      <c r="W228" s="45" t="str">
        <f>PROPER(TRIM(Table13232[[#This Row],[Horse]]))</f>
        <v>Thames</v>
      </c>
    </row>
    <row r="229" spans="1:23" x14ac:dyDescent="0.25">
      <c r="A229" s="109">
        <v>45766</v>
      </c>
      <c r="B229" s="53">
        <v>0.61111111111111116</v>
      </c>
      <c r="C229" s="110" t="s">
        <v>24</v>
      </c>
      <c r="D229" s="111">
        <v>6</v>
      </c>
      <c r="E229" s="111">
        <v>5</v>
      </c>
      <c r="F229" s="112" t="s">
        <v>142</v>
      </c>
      <c r="G229" s="112" t="s">
        <v>23</v>
      </c>
      <c r="H229" s="113"/>
      <c r="I229" s="113" t="s">
        <v>298</v>
      </c>
      <c r="J229" s="45" t="str">
        <f>VLOOKUP(Table13232[[#This Row],[Track]],$C$836:$E$882,2,FALSE)</f>
        <v>Vic</v>
      </c>
      <c r="K229" s="55">
        <v>100</v>
      </c>
      <c r="L229" s="54" t="str">
        <f>IF(Table13232[[#This Row],[Fin]]&lt;&gt;"1st","",Table13232[[#This Row],[Div]]*Table13232[[#This Row],[Lev Bet]])</f>
        <v/>
      </c>
      <c r="M229" s="54">
        <f>IF(Table13232[[#This Row],[Lev Ret]]="",Table13232[[#This Row],[Lev Bet]]*-1,L229-K229)</f>
        <v>-100</v>
      </c>
      <c r="N229" s="135">
        <v>150</v>
      </c>
      <c r="O229" s="135" t="str">
        <f>IF(Table13232[[#This Row],[Fin]]&lt;&gt;"1st","",Table13232[[#This Row],[Div]]*Table13232[[#This Row],[Nat and Combo Bet]])</f>
        <v/>
      </c>
      <c r="P229" s="135">
        <f>IF(Table13232[[#This Row],[Lev Ret]]="",Table13232[[#This Row],[Nat and Combo Bet]]*-1,O229-N229)</f>
        <v>-150</v>
      </c>
      <c r="Q229" s="50">
        <f t="shared" si="9"/>
        <v>1</v>
      </c>
      <c r="R229" s="50" t="str">
        <f>IF(AND(Q228=2,Q229=1),"",IF(Q229=2,(N229+N230)/2,IF(Table13232[[#This Row],[Dual Listing]]=1,Table13232[[#This Row],[Nat and Combo Bet]],11)))</f>
        <v/>
      </c>
      <c r="S229" s="50" t="str">
        <f t="shared" si="10"/>
        <v/>
      </c>
      <c r="T229" s="50" t="str">
        <f t="shared" si="11"/>
        <v/>
      </c>
      <c r="U229" s="50" t="str">
        <f>IF(Table13232[[#This Row],[Date]]&lt;$U$4,"","Live")</f>
        <v/>
      </c>
      <c r="V229" s="45" t="str">
        <f>TEXT(Table13232[[#This Row],[Date]],"DDD")</f>
        <v>Sat</v>
      </c>
      <c r="W229" s="45" t="str">
        <f>PROPER(TRIM(Table13232[[#This Row],[Horse]]))</f>
        <v>Thames</v>
      </c>
    </row>
    <row r="230" spans="1:23" x14ac:dyDescent="0.25">
      <c r="A230" s="43">
        <v>45766</v>
      </c>
      <c r="B230" s="44">
        <v>0.63888888888888884</v>
      </c>
      <c r="C230" s="44" t="s">
        <v>24</v>
      </c>
      <c r="D230" s="45">
        <v>7</v>
      </c>
      <c r="E230" s="45">
        <v>7</v>
      </c>
      <c r="F230" s="46" t="s">
        <v>408</v>
      </c>
      <c r="G230" s="46" t="s">
        <v>22</v>
      </c>
      <c r="H230" s="47"/>
      <c r="I230" s="52" t="s">
        <v>297</v>
      </c>
      <c r="J230" s="45" t="str">
        <f>VLOOKUP(Table13232[[#This Row],[Track]],$C$836:$E$882,2,FALSE)</f>
        <v>Vic</v>
      </c>
      <c r="K230" s="49">
        <v>100</v>
      </c>
      <c r="L230" s="45" t="str">
        <f>IF(Table13232[[#This Row],[Fin]]&lt;&gt;"1st","",Table13232[[#This Row],[Div]]*Table13232[[#This Row],[Lev Bet]])</f>
        <v/>
      </c>
      <c r="M230" s="45">
        <f>IF(Table13232[[#This Row],[Lev Ret]]="",Table13232[[#This Row],[Lev Bet]]*-1,L230-K230)</f>
        <v>-100</v>
      </c>
      <c r="N230" s="135">
        <v>50</v>
      </c>
      <c r="O230" s="135" t="str">
        <f>IF(Table13232[[#This Row],[Fin]]&lt;&gt;"1st","",Table13232[[#This Row],[Div]]*Table13232[[#This Row],[Nat and Combo Bet]])</f>
        <v/>
      </c>
      <c r="P230" s="135">
        <f>IF(Table13232[[#This Row],[Lev Ret]]="",Table13232[[#This Row],[Nat and Combo Bet]]*-1,O230-N230)</f>
        <v>-50</v>
      </c>
      <c r="Q230" s="50">
        <f t="shared" si="9"/>
        <v>1</v>
      </c>
      <c r="R230" s="50">
        <f>IF(AND(Q229=2,Q230=1),"",IF(Q230=2,(N230+N231)/2,IF(Table13232[[#This Row],[Dual Listing]]=1,Table13232[[#This Row],[Nat and Combo Bet]],11)))</f>
        <v>50</v>
      </c>
      <c r="S230" s="50" t="str">
        <f t="shared" si="10"/>
        <v/>
      </c>
      <c r="T230" s="50">
        <f t="shared" si="11"/>
        <v>-50</v>
      </c>
      <c r="U230" s="50" t="str">
        <f>IF(Table13232[[#This Row],[Date]]&lt;$U$4,"","Live")</f>
        <v/>
      </c>
      <c r="V230" s="45" t="str">
        <f>TEXT(Table13232[[#This Row],[Date]],"DDD")</f>
        <v>Sat</v>
      </c>
      <c r="W230" s="45" t="str">
        <f>PROPER(TRIM(Table13232[[#This Row],[Horse]]))</f>
        <v>Fear No Evil</v>
      </c>
    </row>
    <row r="231" spans="1:23" x14ac:dyDescent="0.25">
      <c r="A231" s="43">
        <v>45766</v>
      </c>
      <c r="B231" s="44">
        <v>0.66666666666666663</v>
      </c>
      <c r="C231" s="44" t="s">
        <v>24</v>
      </c>
      <c r="D231" s="45">
        <v>8</v>
      </c>
      <c r="E231" s="45">
        <v>6</v>
      </c>
      <c r="F231" s="46" t="s">
        <v>59</v>
      </c>
      <c r="G231" s="46"/>
      <c r="H231" s="47"/>
      <c r="I231" s="52" t="s">
        <v>297</v>
      </c>
      <c r="J231" s="45" t="str">
        <f>VLOOKUP(Table13232[[#This Row],[Track]],$C$836:$E$882,2,FALSE)</f>
        <v>Vic</v>
      </c>
      <c r="K231" s="49">
        <v>100</v>
      </c>
      <c r="L231" s="45" t="str">
        <f>IF(Table13232[[#This Row],[Fin]]&lt;&gt;"1st","",Table13232[[#This Row],[Div]]*Table13232[[#This Row],[Lev Bet]])</f>
        <v/>
      </c>
      <c r="M231" s="45">
        <f>IF(Table13232[[#This Row],[Lev Ret]]="",Table13232[[#This Row],[Lev Bet]]*-1,L231-K231)</f>
        <v>-100</v>
      </c>
      <c r="N231" s="135">
        <v>100</v>
      </c>
      <c r="O231" s="135" t="str">
        <f>IF(Table13232[[#This Row],[Fin]]&lt;&gt;"1st","",Table13232[[#This Row],[Div]]*Table13232[[#This Row],[Nat and Combo Bet]])</f>
        <v/>
      </c>
      <c r="P231" s="135">
        <f>IF(Table13232[[#This Row],[Lev Ret]]="",Table13232[[#This Row],[Nat and Combo Bet]]*-1,O231-N231)</f>
        <v>-100</v>
      </c>
      <c r="Q231" s="50">
        <f t="shared" si="9"/>
        <v>1</v>
      </c>
      <c r="R231" s="50">
        <f>IF(AND(Q230=2,Q231=1),"",IF(Q231=2,(N231+N232)/2,IF(Table13232[[#This Row],[Dual Listing]]=1,Table13232[[#This Row],[Nat and Combo Bet]],11)))</f>
        <v>100</v>
      </c>
      <c r="S231" s="50" t="str">
        <f t="shared" si="10"/>
        <v/>
      </c>
      <c r="T231" s="50">
        <f t="shared" si="11"/>
        <v>-100</v>
      </c>
      <c r="U231" s="50" t="str">
        <f>IF(Table13232[[#This Row],[Date]]&lt;$U$4,"","Live")</f>
        <v/>
      </c>
      <c r="V231" s="45" t="str">
        <f>TEXT(Table13232[[#This Row],[Date]],"DDD")</f>
        <v>Sat</v>
      </c>
      <c r="W231" s="45" t="str">
        <f>PROPER(TRIM(Table13232[[#This Row],[Horse]]))</f>
        <v>Berkshire Breeze</v>
      </c>
    </row>
    <row r="232" spans="1:23" x14ac:dyDescent="0.25">
      <c r="A232" s="43">
        <v>45766</v>
      </c>
      <c r="B232" s="44">
        <v>0.68055555555555558</v>
      </c>
      <c r="C232" s="44" t="s">
        <v>13</v>
      </c>
      <c r="D232" s="45">
        <v>9</v>
      </c>
      <c r="E232" s="45">
        <v>5</v>
      </c>
      <c r="F232" s="46" t="s">
        <v>409</v>
      </c>
      <c r="G232" s="46" t="s">
        <v>21</v>
      </c>
      <c r="H232" s="47">
        <v>4.4000000000000004</v>
      </c>
      <c r="I232" s="52" t="s">
        <v>297</v>
      </c>
      <c r="J232" s="45" t="str">
        <f>VLOOKUP(Table13232[[#This Row],[Track]],$C$836:$E$882,2,FALSE)</f>
        <v>NSW</v>
      </c>
      <c r="K232" s="49">
        <v>100</v>
      </c>
      <c r="L232" s="45">
        <f>IF(Table13232[[#This Row],[Fin]]&lt;&gt;"1st","",Table13232[[#This Row],[Div]]*Table13232[[#This Row],[Lev Bet]])</f>
        <v>440.00000000000006</v>
      </c>
      <c r="M232" s="45">
        <f>IF(Table13232[[#This Row],[Lev Ret]]="",Table13232[[#This Row],[Lev Bet]]*-1,L232-K232)</f>
        <v>340.00000000000006</v>
      </c>
      <c r="N232" s="135">
        <v>200</v>
      </c>
      <c r="O232" s="135">
        <f>IF(Table13232[[#This Row],[Fin]]&lt;&gt;"1st","",Table13232[[#This Row],[Div]]*Table13232[[#This Row],[Nat and Combo Bet]])</f>
        <v>880.00000000000011</v>
      </c>
      <c r="P232" s="135">
        <f>IF(Table13232[[#This Row],[Lev Ret]]="",Table13232[[#This Row],[Nat and Combo Bet]]*-1,O232-N232)</f>
        <v>680.00000000000011</v>
      </c>
      <c r="Q232" s="50">
        <f t="shared" si="9"/>
        <v>1</v>
      </c>
      <c r="R232" s="50">
        <f>IF(AND(Q231=2,Q232=1),"",IF(Q232=2,(N232+N233)/2,IF(Table13232[[#This Row],[Dual Listing]]=1,Table13232[[#This Row],[Nat and Combo Bet]],11)))</f>
        <v>200</v>
      </c>
      <c r="S232" s="50">
        <f t="shared" si="10"/>
        <v>880.00000000000011</v>
      </c>
      <c r="T232" s="50">
        <f t="shared" si="11"/>
        <v>680.00000000000011</v>
      </c>
      <c r="U232" s="50" t="str">
        <f>IF(Table13232[[#This Row],[Date]]&lt;$U$4,"","Live")</f>
        <v/>
      </c>
      <c r="V232" s="45" t="str">
        <f>TEXT(Table13232[[#This Row],[Date]],"DDD")</f>
        <v>Sat</v>
      </c>
      <c r="W232" s="45" t="str">
        <f>PROPER(TRIM(Table13232[[#This Row],[Horse]]))</f>
        <v>Mazu</v>
      </c>
    </row>
    <row r="233" spans="1:23" x14ac:dyDescent="0.25">
      <c r="A233" s="109">
        <v>45766</v>
      </c>
      <c r="B233" s="53">
        <v>0.71527777777777779</v>
      </c>
      <c r="C233" s="110" t="s">
        <v>24</v>
      </c>
      <c r="D233" s="111">
        <v>10</v>
      </c>
      <c r="E233" s="111">
        <v>8</v>
      </c>
      <c r="F233" s="112" t="s">
        <v>155</v>
      </c>
      <c r="G233" s="112" t="s">
        <v>21</v>
      </c>
      <c r="H233" s="113">
        <v>3.7</v>
      </c>
      <c r="I233" s="114" t="s">
        <v>297</v>
      </c>
      <c r="J233" s="45" t="str">
        <f>VLOOKUP(Table13232[[#This Row],[Track]],$C$836:$E$882,2,FALSE)</f>
        <v>Vic</v>
      </c>
      <c r="K233" s="55">
        <v>100</v>
      </c>
      <c r="L233" s="54">
        <f>IF(Table13232[[#This Row],[Fin]]&lt;&gt;"1st","",Table13232[[#This Row],[Div]]*Table13232[[#This Row],[Lev Bet]])</f>
        <v>370</v>
      </c>
      <c r="M233" s="54">
        <f>IF(Table13232[[#This Row],[Lev Ret]]="",Table13232[[#This Row],[Lev Bet]]*-1,L233-K233)</f>
        <v>270</v>
      </c>
      <c r="N233" s="135">
        <v>160</v>
      </c>
      <c r="O233" s="135">
        <f>IF(Table13232[[#This Row],[Fin]]&lt;&gt;"1st","",Table13232[[#This Row],[Div]]*Table13232[[#This Row],[Nat and Combo Bet]])</f>
        <v>592</v>
      </c>
      <c r="P233" s="135">
        <f>IF(Table13232[[#This Row],[Lev Ret]]="",Table13232[[#This Row],[Nat and Combo Bet]]*-1,O233-N233)</f>
        <v>432</v>
      </c>
      <c r="Q233" s="50">
        <f t="shared" si="9"/>
        <v>2</v>
      </c>
      <c r="R233" s="50">
        <f>IF(AND(Q232=2,Q233=1),"",IF(Q233=2,(N233+N234)/2,IF(Table13232[[#This Row],[Dual Listing]]=1,Table13232[[#This Row],[Nat and Combo Bet]],11)))</f>
        <v>180</v>
      </c>
      <c r="S233" s="50">
        <f t="shared" si="10"/>
        <v>666</v>
      </c>
      <c r="T233" s="50">
        <f t="shared" si="11"/>
        <v>486</v>
      </c>
      <c r="U233" s="50" t="str">
        <f>IF(Table13232[[#This Row],[Date]]&lt;$U$4,"","Live")</f>
        <v/>
      </c>
      <c r="V233" s="45" t="str">
        <f>TEXT(Table13232[[#This Row],[Date]],"DDD")</f>
        <v>Sat</v>
      </c>
      <c r="W233" s="45" t="str">
        <f>PROPER(TRIM(Table13232[[#This Row],[Horse]]))</f>
        <v>Namesake</v>
      </c>
    </row>
    <row r="234" spans="1:23" x14ac:dyDescent="0.25">
      <c r="A234" s="109">
        <v>45766</v>
      </c>
      <c r="B234" s="53">
        <v>0.71527777777777779</v>
      </c>
      <c r="C234" s="110" t="s">
        <v>24</v>
      </c>
      <c r="D234" s="111">
        <v>10</v>
      </c>
      <c r="E234" s="111">
        <v>8</v>
      </c>
      <c r="F234" s="112" t="s">
        <v>155</v>
      </c>
      <c r="G234" s="112" t="s">
        <v>21</v>
      </c>
      <c r="H234" s="113">
        <v>3.7</v>
      </c>
      <c r="I234" s="113" t="s">
        <v>298</v>
      </c>
      <c r="J234" s="45" t="str">
        <f>VLOOKUP(Table13232[[#This Row],[Track]],$C$836:$E$882,2,FALSE)</f>
        <v>Vic</v>
      </c>
      <c r="K234" s="55">
        <v>100</v>
      </c>
      <c r="L234" s="54">
        <f>IF(Table13232[[#This Row],[Fin]]&lt;&gt;"1st","",Table13232[[#This Row],[Div]]*Table13232[[#This Row],[Lev Bet]])</f>
        <v>370</v>
      </c>
      <c r="M234" s="54">
        <f>IF(Table13232[[#This Row],[Lev Ret]]="",Table13232[[#This Row],[Lev Bet]]*-1,L234-K234)</f>
        <v>270</v>
      </c>
      <c r="N234" s="135">
        <v>200</v>
      </c>
      <c r="O234" s="135">
        <f>IF(Table13232[[#This Row],[Fin]]&lt;&gt;"1st","",Table13232[[#This Row],[Div]]*Table13232[[#This Row],[Nat and Combo Bet]])</f>
        <v>740</v>
      </c>
      <c r="P234" s="135">
        <f>IF(Table13232[[#This Row],[Lev Ret]]="",Table13232[[#This Row],[Nat and Combo Bet]]*-1,O234-N234)</f>
        <v>540</v>
      </c>
      <c r="Q234" s="50">
        <f t="shared" si="9"/>
        <v>1</v>
      </c>
      <c r="R234" s="50" t="str">
        <f>IF(AND(Q233=2,Q234=1),"",IF(Q234=2,(N234+N235)/2,IF(Table13232[[#This Row],[Dual Listing]]=1,Table13232[[#This Row],[Nat and Combo Bet]],11)))</f>
        <v/>
      </c>
      <c r="S234" s="50" t="str">
        <f t="shared" si="10"/>
        <v/>
      </c>
      <c r="T234" s="50" t="str">
        <f t="shared" si="11"/>
        <v/>
      </c>
      <c r="U234" s="50" t="str">
        <f>IF(Table13232[[#This Row],[Date]]&lt;$U$4,"","Live")</f>
        <v/>
      </c>
      <c r="V234" s="45" t="str">
        <f>TEXT(Table13232[[#This Row],[Date]],"DDD")</f>
        <v>Sat</v>
      </c>
      <c r="W234" s="45" t="str">
        <f>PROPER(TRIM(Table13232[[#This Row],[Horse]]))</f>
        <v>Namesake</v>
      </c>
    </row>
    <row r="235" spans="1:23" x14ac:dyDescent="0.25">
      <c r="A235" s="43">
        <v>45766</v>
      </c>
      <c r="B235" s="44">
        <v>0.71527777777777779</v>
      </c>
      <c r="C235" s="44" t="s">
        <v>24</v>
      </c>
      <c r="D235" s="45">
        <v>10</v>
      </c>
      <c r="E235" s="45">
        <v>2</v>
      </c>
      <c r="F235" s="46" t="s">
        <v>51</v>
      </c>
      <c r="G235" s="46" t="s">
        <v>23</v>
      </c>
      <c r="H235" s="47"/>
      <c r="I235" s="52" t="s">
        <v>297</v>
      </c>
      <c r="J235" s="45" t="str">
        <f>VLOOKUP(Table13232[[#This Row],[Track]],$C$836:$E$882,2,FALSE)</f>
        <v>Vic</v>
      </c>
      <c r="K235" s="49">
        <v>100</v>
      </c>
      <c r="L235" s="45" t="str">
        <f>IF(Table13232[[#This Row],[Fin]]&lt;&gt;"1st","",Table13232[[#This Row],[Div]]*Table13232[[#This Row],[Lev Bet]])</f>
        <v/>
      </c>
      <c r="M235" s="45">
        <f>IF(Table13232[[#This Row],[Lev Ret]]="",Table13232[[#This Row],[Lev Bet]]*-1,L235-K235)</f>
        <v>-100</v>
      </c>
      <c r="N235" s="135">
        <v>150</v>
      </c>
      <c r="O235" s="135" t="str">
        <f>IF(Table13232[[#This Row],[Fin]]&lt;&gt;"1st","",Table13232[[#This Row],[Div]]*Table13232[[#This Row],[Nat and Combo Bet]])</f>
        <v/>
      </c>
      <c r="P235" s="135">
        <f>IF(Table13232[[#This Row],[Lev Ret]]="",Table13232[[#This Row],[Nat and Combo Bet]]*-1,O235-N235)</f>
        <v>-150</v>
      </c>
      <c r="Q235" s="50">
        <f t="shared" si="9"/>
        <v>1</v>
      </c>
      <c r="R235" s="50">
        <f>IF(AND(Q234=2,Q235=1),"",IF(Q235=2,(N235+N236)/2,IF(Table13232[[#This Row],[Dual Listing]]=1,Table13232[[#This Row],[Nat and Combo Bet]],11)))</f>
        <v>150</v>
      </c>
      <c r="S235" s="50" t="str">
        <f t="shared" si="10"/>
        <v/>
      </c>
      <c r="T235" s="50">
        <f t="shared" si="11"/>
        <v>-150</v>
      </c>
      <c r="U235" s="50" t="str">
        <f>IF(Table13232[[#This Row],[Date]]&lt;$U$4,"","Live")</f>
        <v/>
      </c>
      <c r="V235" s="45" t="str">
        <f>TEXT(Table13232[[#This Row],[Date]],"DDD")</f>
        <v>Sat</v>
      </c>
      <c r="W235" s="45" t="str">
        <f>PROPER(TRIM(Table13232[[#This Row],[Horse]]))</f>
        <v>Prancing Spirit</v>
      </c>
    </row>
    <row r="236" spans="1:23" x14ac:dyDescent="0.25">
      <c r="A236" s="43">
        <v>45773</v>
      </c>
      <c r="B236" s="44">
        <v>0.50347222222222221</v>
      </c>
      <c r="C236" s="44" t="s">
        <v>13</v>
      </c>
      <c r="D236" s="45">
        <v>2</v>
      </c>
      <c r="E236" s="45">
        <v>2</v>
      </c>
      <c r="F236" s="46" t="s">
        <v>410</v>
      </c>
      <c r="G236" s="46" t="s">
        <v>23</v>
      </c>
      <c r="H236" s="47"/>
      <c r="I236" s="52" t="s">
        <v>297</v>
      </c>
      <c r="J236" s="45" t="str">
        <f>VLOOKUP(Table13232[[#This Row],[Track]],$C$836:$E$882,2,FALSE)</f>
        <v>NSW</v>
      </c>
      <c r="K236" s="49">
        <v>100</v>
      </c>
      <c r="L236" s="45" t="str">
        <f>IF(Table13232[[#This Row],[Fin]]&lt;&gt;"1st","",Table13232[[#This Row],[Div]]*Table13232[[#This Row],[Lev Bet]])</f>
        <v/>
      </c>
      <c r="M236" s="45">
        <f>IF(Table13232[[#This Row],[Lev Ret]]="",Table13232[[#This Row],[Lev Bet]]*-1,L236-K236)</f>
        <v>-100</v>
      </c>
      <c r="N236" s="135">
        <v>100</v>
      </c>
      <c r="O236" s="135" t="str">
        <f>IF(Table13232[[#This Row],[Fin]]&lt;&gt;"1st","",Table13232[[#This Row],[Div]]*Table13232[[#This Row],[Nat and Combo Bet]])</f>
        <v/>
      </c>
      <c r="P236" s="135">
        <f>IF(Table13232[[#This Row],[Lev Ret]]="",Table13232[[#This Row],[Nat and Combo Bet]]*-1,O236-N236)</f>
        <v>-100</v>
      </c>
      <c r="Q236" s="50">
        <f t="shared" si="9"/>
        <v>1</v>
      </c>
      <c r="R236" s="50">
        <f>IF(AND(Q235=2,Q236=1),"",IF(Q236=2,(N236+N237)/2,IF(Table13232[[#This Row],[Dual Listing]]=1,Table13232[[#This Row],[Nat and Combo Bet]],11)))</f>
        <v>100</v>
      </c>
      <c r="S236" s="50" t="str">
        <f t="shared" si="10"/>
        <v/>
      </c>
      <c r="T236" s="50">
        <f t="shared" si="11"/>
        <v>-100</v>
      </c>
      <c r="U236" s="50" t="str">
        <f>IF(Table13232[[#This Row],[Date]]&lt;$U$4,"","Live")</f>
        <v/>
      </c>
      <c r="V236" s="45" t="str">
        <f>TEXT(Table13232[[#This Row],[Date]],"DDD")</f>
        <v>Sat</v>
      </c>
      <c r="W236" s="45" t="str">
        <f>PROPER(TRIM(Table13232[[#This Row],[Horse]]))</f>
        <v>Oakfield Badger</v>
      </c>
    </row>
    <row r="237" spans="1:23" x14ac:dyDescent="0.25">
      <c r="A237" s="109">
        <v>45773</v>
      </c>
      <c r="B237" s="53">
        <v>0.53819444444444442</v>
      </c>
      <c r="C237" s="110" t="s">
        <v>36</v>
      </c>
      <c r="D237" s="111">
        <v>2</v>
      </c>
      <c r="E237" s="111">
        <v>4</v>
      </c>
      <c r="F237" s="112" t="s">
        <v>52</v>
      </c>
      <c r="G237" s="112" t="s">
        <v>21</v>
      </c>
      <c r="H237" s="113">
        <v>1.7</v>
      </c>
      <c r="I237" s="114" t="s">
        <v>297</v>
      </c>
      <c r="J237" s="45" t="str">
        <f>VLOOKUP(Table13232[[#This Row],[Track]],$C$836:$E$882,2,FALSE)</f>
        <v>Vic</v>
      </c>
      <c r="K237" s="55">
        <v>100</v>
      </c>
      <c r="L237" s="54">
        <f>IF(Table13232[[#This Row],[Fin]]&lt;&gt;"1st","",Table13232[[#This Row],[Div]]*Table13232[[#This Row],[Lev Bet]])</f>
        <v>170</v>
      </c>
      <c r="M237" s="54">
        <f>IF(Table13232[[#This Row],[Lev Ret]]="",Table13232[[#This Row],[Lev Bet]]*-1,L237-K237)</f>
        <v>70</v>
      </c>
      <c r="N237" s="135">
        <v>100</v>
      </c>
      <c r="O237" s="135">
        <f>IF(Table13232[[#This Row],[Fin]]&lt;&gt;"1st","",Table13232[[#This Row],[Div]]*Table13232[[#This Row],[Nat and Combo Bet]])</f>
        <v>170</v>
      </c>
      <c r="P237" s="135">
        <f>IF(Table13232[[#This Row],[Lev Ret]]="",Table13232[[#This Row],[Nat and Combo Bet]]*-1,O237-N237)</f>
        <v>70</v>
      </c>
      <c r="Q237" s="50">
        <f t="shared" si="9"/>
        <v>2</v>
      </c>
      <c r="R237" s="50">
        <f>IF(AND(Q236=2,Q237=1),"",IF(Q237=2,(N237+N238)/2,IF(Table13232[[#This Row],[Dual Listing]]=1,Table13232[[#This Row],[Nat and Combo Bet]],11)))</f>
        <v>150</v>
      </c>
      <c r="S237" s="50">
        <f t="shared" si="10"/>
        <v>255</v>
      </c>
      <c r="T237" s="50">
        <f t="shared" si="11"/>
        <v>105</v>
      </c>
      <c r="U237" s="50" t="str">
        <f>IF(Table13232[[#This Row],[Date]]&lt;$U$4,"","Live")</f>
        <v/>
      </c>
      <c r="V237" s="45" t="str">
        <f>TEXT(Table13232[[#This Row],[Date]],"DDD")</f>
        <v>Sat</v>
      </c>
      <c r="W237" s="45" t="str">
        <f>PROPER(TRIM(Table13232[[#This Row],[Horse]]))</f>
        <v>Elouyou</v>
      </c>
    </row>
    <row r="238" spans="1:23" x14ac:dyDescent="0.25">
      <c r="A238" s="109">
        <v>45773</v>
      </c>
      <c r="B238" s="53">
        <v>0.53819444444444442</v>
      </c>
      <c r="C238" s="110" t="s">
        <v>36</v>
      </c>
      <c r="D238" s="111">
        <v>2</v>
      </c>
      <c r="E238" s="111">
        <v>4</v>
      </c>
      <c r="F238" s="112" t="s">
        <v>52</v>
      </c>
      <c r="G238" s="112" t="s">
        <v>21</v>
      </c>
      <c r="H238" s="113">
        <v>1.7</v>
      </c>
      <c r="I238" s="113" t="s">
        <v>298</v>
      </c>
      <c r="J238" s="45" t="str">
        <f>VLOOKUP(Table13232[[#This Row],[Track]],$C$836:$E$882,2,FALSE)</f>
        <v>Vic</v>
      </c>
      <c r="K238" s="55">
        <v>100</v>
      </c>
      <c r="L238" s="54">
        <f>IF(Table13232[[#This Row],[Fin]]&lt;&gt;"1st","",Table13232[[#This Row],[Div]]*Table13232[[#This Row],[Lev Bet]])</f>
        <v>170</v>
      </c>
      <c r="M238" s="54">
        <f>IF(Table13232[[#This Row],[Lev Ret]]="",Table13232[[#This Row],[Lev Bet]]*-1,L238-K238)</f>
        <v>70</v>
      </c>
      <c r="N238" s="135">
        <v>200</v>
      </c>
      <c r="O238" s="135">
        <f>IF(Table13232[[#This Row],[Fin]]&lt;&gt;"1st","",Table13232[[#This Row],[Div]]*Table13232[[#This Row],[Nat and Combo Bet]])</f>
        <v>340</v>
      </c>
      <c r="P238" s="135">
        <f>IF(Table13232[[#This Row],[Lev Ret]]="",Table13232[[#This Row],[Nat and Combo Bet]]*-1,O238-N238)</f>
        <v>140</v>
      </c>
      <c r="Q238" s="50">
        <f t="shared" si="9"/>
        <v>1</v>
      </c>
      <c r="R238" s="50" t="str">
        <f>IF(AND(Q237=2,Q238=1),"",IF(Q238=2,(N238+N239)/2,IF(Table13232[[#This Row],[Dual Listing]]=1,Table13232[[#This Row],[Nat and Combo Bet]],11)))</f>
        <v/>
      </c>
      <c r="S238" s="50" t="str">
        <f t="shared" si="10"/>
        <v/>
      </c>
      <c r="T238" s="50" t="str">
        <f t="shared" si="11"/>
        <v/>
      </c>
      <c r="U238" s="50" t="str">
        <f>IF(Table13232[[#This Row],[Date]]&lt;$U$4,"","Live")</f>
        <v/>
      </c>
      <c r="V238" s="45" t="str">
        <f>TEXT(Table13232[[#This Row],[Date]],"DDD")</f>
        <v>Sat</v>
      </c>
      <c r="W238" s="45" t="str">
        <f>PROPER(TRIM(Table13232[[#This Row],[Horse]]))</f>
        <v>Elouyou</v>
      </c>
    </row>
    <row r="239" spans="1:23" x14ac:dyDescent="0.25">
      <c r="A239" s="43">
        <v>45773</v>
      </c>
      <c r="B239" s="44">
        <v>0.5625</v>
      </c>
      <c r="C239" s="44" t="s">
        <v>36</v>
      </c>
      <c r="D239" s="45">
        <v>3</v>
      </c>
      <c r="E239" s="45">
        <v>8</v>
      </c>
      <c r="F239" s="46" t="s">
        <v>157</v>
      </c>
      <c r="G239" s="46"/>
      <c r="H239" s="47"/>
      <c r="I239" s="47" t="s">
        <v>298</v>
      </c>
      <c r="J239" s="45" t="str">
        <f>VLOOKUP(Table13232[[#This Row],[Track]],$C$836:$E$882,2,FALSE)</f>
        <v>Vic</v>
      </c>
      <c r="K239" s="49">
        <v>100</v>
      </c>
      <c r="L239" s="45" t="str">
        <f>IF(Table13232[[#This Row],[Fin]]&lt;&gt;"1st","",Table13232[[#This Row],[Div]]*Table13232[[#This Row],[Lev Bet]])</f>
        <v/>
      </c>
      <c r="M239" s="45">
        <f>IF(Table13232[[#This Row],[Lev Ret]]="",Table13232[[#This Row],[Lev Bet]]*-1,L239-K239)</f>
        <v>-100</v>
      </c>
      <c r="N239" s="135">
        <v>200</v>
      </c>
      <c r="O239" s="135" t="str">
        <f>IF(Table13232[[#This Row],[Fin]]&lt;&gt;"1st","",Table13232[[#This Row],[Div]]*Table13232[[#This Row],[Nat and Combo Bet]])</f>
        <v/>
      </c>
      <c r="P239" s="135">
        <f>IF(Table13232[[#This Row],[Lev Ret]]="",Table13232[[#This Row],[Nat and Combo Bet]]*-1,O239-N239)</f>
        <v>-200</v>
      </c>
      <c r="Q239" s="50">
        <f t="shared" si="9"/>
        <v>1</v>
      </c>
      <c r="R239" s="50">
        <f>IF(AND(Q238=2,Q239=1),"",IF(Q239=2,(N239+N240)/2,IF(Table13232[[#This Row],[Dual Listing]]=1,Table13232[[#This Row],[Nat and Combo Bet]],11)))</f>
        <v>200</v>
      </c>
      <c r="S239" s="50" t="str">
        <f t="shared" si="10"/>
        <v/>
      </c>
      <c r="T239" s="50">
        <f t="shared" si="11"/>
        <v>-200</v>
      </c>
      <c r="U239" s="50" t="str">
        <f>IF(Table13232[[#This Row],[Date]]&lt;$U$4,"","Live")</f>
        <v/>
      </c>
      <c r="V239" s="45" t="str">
        <f>TEXT(Table13232[[#This Row],[Date]],"DDD")</f>
        <v>Sat</v>
      </c>
      <c r="W239" s="45" t="str">
        <f>PROPER(TRIM(Table13232[[#This Row],[Horse]]))</f>
        <v>Happy Link</v>
      </c>
    </row>
    <row r="240" spans="1:23" x14ac:dyDescent="0.25">
      <c r="A240" s="43">
        <v>45773</v>
      </c>
      <c r="B240" s="44">
        <v>0.58680555555555558</v>
      </c>
      <c r="C240" s="44" t="s">
        <v>36</v>
      </c>
      <c r="D240" s="45">
        <v>4</v>
      </c>
      <c r="E240" s="45">
        <v>5</v>
      </c>
      <c r="F240" s="46" t="s">
        <v>411</v>
      </c>
      <c r="G240" s="46" t="s">
        <v>23</v>
      </c>
      <c r="H240" s="47"/>
      <c r="I240" s="52" t="s">
        <v>297</v>
      </c>
      <c r="J240" s="45" t="str">
        <f>VLOOKUP(Table13232[[#This Row],[Track]],$C$836:$E$882,2,FALSE)</f>
        <v>Vic</v>
      </c>
      <c r="K240" s="49">
        <v>100</v>
      </c>
      <c r="L240" s="45" t="str">
        <f>IF(Table13232[[#This Row],[Fin]]&lt;&gt;"1st","",Table13232[[#This Row],[Div]]*Table13232[[#This Row],[Lev Bet]])</f>
        <v/>
      </c>
      <c r="M240" s="45">
        <f>IF(Table13232[[#This Row],[Lev Ret]]="",Table13232[[#This Row],[Lev Bet]]*-1,L240-K240)</f>
        <v>-100</v>
      </c>
      <c r="N240" s="135">
        <v>50</v>
      </c>
      <c r="O240" s="135" t="str">
        <f>IF(Table13232[[#This Row],[Fin]]&lt;&gt;"1st","",Table13232[[#This Row],[Div]]*Table13232[[#This Row],[Nat and Combo Bet]])</f>
        <v/>
      </c>
      <c r="P240" s="135">
        <f>IF(Table13232[[#This Row],[Lev Ret]]="",Table13232[[#This Row],[Nat and Combo Bet]]*-1,O240-N240)</f>
        <v>-50</v>
      </c>
      <c r="Q240" s="50">
        <f t="shared" si="9"/>
        <v>1</v>
      </c>
      <c r="R240" s="50">
        <f>IF(AND(Q239=2,Q240=1),"",IF(Q240=2,(N240+N241)/2,IF(Table13232[[#This Row],[Dual Listing]]=1,Table13232[[#This Row],[Nat and Combo Bet]],11)))</f>
        <v>50</v>
      </c>
      <c r="S240" s="50" t="str">
        <f t="shared" si="10"/>
        <v/>
      </c>
      <c r="T240" s="50">
        <f t="shared" si="11"/>
        <v>-50</v>
      </c>
      <c r="U240" s="50" t="str">
        <f>IF(Table13232[[#This Row],[Date]]&lt;$U$4,"","Live")</f>
        <v/>
      </c>
      <c r="V240" s="45" t="str">
        <f>TEXT(Table13232[[#This Row],[Date]],"DDD")</f>
        <v>Sat</v>
      </c>
      <c r="W240" s="45" t="str">
        <f>PROPER(TRIM(Table13232[[#This Row],[Horse]]))</f>
        <v>Gitalong</v>
      </c>
    </row>
    <row r="241" spans="1:23" x14ac:dyDescent="0.25">
      <c r="A241" s="43">
        <v>45773</v>
      </c>
      <c r="B241" s="44">
        <v>0.58680555555555558</v>
      </c>
      <c r="C241" s="44" t="s">
        <v>36</v>
      </c>
      <c r="D241" s="45">
        <v>4</v>
      </c>
      <c r="E241" s="45">
        <v>3</v>
      </c>
      <c r="F241" s="46" t="s">
        <v>88</v>
      </c>
      <c r="G241" s="46" t="s">
        <v>21</v>
      </c>
      <c r="H241" s="47">
        <v>2.5</v>
      </c>
      <c r="I241" s="52" t="s">
        <v>297</v>
      </c>
      <c r="J241" s="45" t="str">
        <f>VLOOKUP(Table13232[[#This Row],[Track]],$C$836:$E$882,2,FALSE)</f>
        <v>Vic</v>
      </c>
      <c r="K241" s="49">
        <v>100</v>
      </c>
      <c r="L241" s="45">
        <f>IF(Table13232[[#This Row],[Fin]]&lt;&gt;"1st","",Table13232[[#This Row],[Div]]*Table13232[[#This Row],[Lev Bet]])</f>
        <v>250</v>
      </c>
      <c r="M241" s="45">
        <f>IF(Table13232[[#This Row],[Lev Ret]]="",Table13232[[#This Row],[Lev Bet]]*-1,L241-K241)</f>
        <v>150</v>
      </c>
      <c r="N241" s="135">
        <v>100</v>
      </c>
      <c r="O241" s="135">
        <f>IF(Table13232[[#This Row],[Fin]]&lt;&gt;"1st","",Table13232[[#This Row],[Div]]*Table13232[[#This Row],[Nat and Combo Bet]])</f>
        <v>250</v>
      </c>
      <c r="P241" s="135">
        <f>IF(Table13232[[#This Row],[Lev Ret]]="",Table13232[[#This Row],[Nat and Combo Bet]]*-1,O241-N241)</f>
        <v>150</v>
      </c>
      <c r="Q241" s="50">
        <f t="shared" si="9"/>
        <v>1</v>
      </c>
      <c r="R241" s="50">
        <f>IF(AND(Q240=2,Q241=1),"",IF(Q241=2,(N241+N242)/2,IF(Table13232[[#This Row],[Dual Listing]]=1,Table13232[[#This Row],[Nat and Combo Bet]],11)))</f>
        <v>100</v>
      </c>
      <c r="S241" s="50">
        <f t="shared" si="10"/>
        <v>250</v>
      </c>
      <c r="T241" s="50">
        <f t="shared" si="11"/>
        <v>150</v>
      </c>
      <c r="U241" s="50" t="str">
        <f>IF(Table13232[[#This Row],[Date]]&lt;$U$4,"","Live")</f>
        <v/>
      </c>
      <c r="V241" s="45" t="str">
        <f>TEXT(Table13232[[#This Row],[Date]],"DDD")</f>
        <v>Sat</v>
      </c>
      <c r="W241" s="45" t="str">
        <f>PROPER(TRIM(Table13232[[#This Row],[Horse]]))</f>
        <v>New York Lustre</v>
      </c>
    </row>
    <row r="242" spans="1:23" x14ac:dyDescent="0.25">
      <c r="A242" s="43">
        <v>45773</v>
      </c>
      <c r="B242" s="44">
        <v>0.61111111111111116</v>
      </c>
      <c r="C242" s="44" t="s">
        <v>36</v>
      </c>
      <c r="D242" s="45">
        <v>5</v>
      </c>
      <c r="E242" s="45">
        <v>2</v>
      </c>
      <c r="F242" s="46" t="s">
        <v>412</v>
      </c>
      <c r="G242" s="46"/>
      <c r="H242" s="47"/>
      <c r="I242" s="52" t="s">
        <v>297</v>
      </c>
      <c r="J242" s="45" t="str">
        <f>VLOOKUP(Table13232[[#This Row],[Track]],$C$836:$E$882,2,FALSE)</f>
        <v>Vic</v>
      </c>
      <c r="K242" s="49">
        <v>100</v>
      </c>
      <c r="L242" s="45" t="str">
        <f>IF(Table13232[[#This Row],[Fin]]&lt;&gt;"1st","",Table13232[[#This Row],[Div]]*Table13232[[#This Row],[Lev Bet]])</f>
        <v/>
      </c>
      <c r="M242" s="45">
        <f>IF(Table13232[[#This Row],[Lev Ret]]="",Table13232[[#This Row],[Lev Bet]]*-1,L242-K242)</f>
        <v>-100</v>
      </c>
      <c r="N242" s="135">
        <v>100</v>
      </c>
      <c r="O242" s="135" t="str">
        <f>IF(Table13232[[#This Row],[Fin]]&lt;&gt;"1st","",Table13232[[#This Row],[Div]]*Table13232[[#This Row],[Nat and Combo Bet]])</f>
        <v/>
      </c>
      <c r="P242" s="135">
        <f>IF(Table13232[[#This Row],[Lev Ret]]="",Table13232[[#This Row],[Nat and Combo Bet]]*-1,O242-N242)</f>
        <v>-100</v>
      </c>
      <c r="Q242" s="50">
        <f t="shared" si="9"/>
        <v>1</v>
      </c>
      <c r="R242" s="50">
        <f>IF(AND(Q241=2,Q242=1),"",IF(Q242=2,(N242+N243)/2,IF(Table13232[[#This Row],[Dual Listing]]=1,Table13232[[#This Row],[Nat and Combo Bet]],11)))</f>
        <v>100</v>
      </c>
      <c r="S242" s="50" t="str">
        <f t="shared" si="10"/>
        <v/>
      </c>
      <c r="T242" s="50">
        <f t="shared" si="11"/>
        <v>-100</v>
      </c>
      <c r="U242" s="50" t="str">
        <f>IF(Table13232[[#This Row],[Date]]&lt;$U$4,"","Live")</f>
        <v/>
      </c>
      <c r="V242" s="45" t="str">
        <f>TEXT(Table13232[[#This Row],[Date]],"DDD")</f>
        <v>Sat</v>
      </c>
      <c r="W242" s="45" t="str">
        <f>PROPER(TRIM(Table13232[[#This Row],[Horse]]))</f>
        <v>Nicolini Vito</v>
      </c>
    </row>
    <row r="243" spans="1:23" x14ac:dyDescent="0.25">
      <c r="A243" s="43">
        <v>45773</v>
      </c>
      <c r="B243" s="44">
        <v>0.64930555555555558</v>
      </c>
      <c r="C243" s="44" t="s">
        <v>13</v>
      </c>
      <c r="D243" s="45">
        <v>8</v>
      </c>
      <c r="E243" s="45">
        <v>3</v>
      </c>
      <c r="F243" s="46" t="s">
        <v>124</v>
      </c>
      <c r="G243" s="46"/>
      <c r="H243" s="47"/>
      <c r="I243" s="52" t="s">
        <v>297</v>
      </c>
      <c r="J243" s="45" t="str">
        <f>VLOOKUP(Table13232[[#This Row],[Track]],$C$836:$E$882,2,FALSE)</f>
        <v>NSW</v>
      </c>
      <c r="K243" s="49">
        <v>100</v>
      </c>
      <c r="L243" s="45" t="str">
        <f>IF(Table13232[[#This Row],[Fin]]&lt;&gt;"1st","",Table13232[[#This Row],[Div]]*Table13232[[#This Row],[Lev Bet]])</f>
        <v/>
      </c>
      <c r="M243" s="45">
        <f>IF(Table13232[[#This Row],[Lev Ret]]="",Table13232[[#This Row],[Lev Bet]]*-1,L243-K243)</f>
        <v>-100</v>
      </c>
      <c r="N243" s="135">
        <v>100</v>
      </c>
      <c r="O243" s="135" t="str">
        <f>IF(Table13232[[#This Row],[Fin]]&lt;&gt;"1st","",Table13232[[#This Row],[Div]]*Table13232[[#This Row],[Nat and Combo Bet]])</f>
        <v/>
      </c>
      <c r="P243" s="135">
        <f>IF(Table13232[[#This Row],[Lev Ret]]="",Table13232[[#This Row],[Nat and Combo Bet]]*-1,O243-N243)</f>
        <v>-100</v>
      </c>
      <c r="Q243" s="50">
        <f t="shared" si="9"/>
        <v>1</v>
      </c>
      <c r="R243" s="50">
        <f>IF(AND(Q242=2,Q243=1),"",IF(Q243=2,(N243+N244)/2,IF(Table13232[[#This Row],[Dual Listing]]=1,Table13232[[#This Row],[Nat and Combo Bet]],11)))</f>
        <v>100</v>
      </c>
      <c r="S243" s="50" t="str">
        <f t="shared" si="10"/>
        <v/>
      </c>
      <c r="T243" s="50">
        <f t="shared" si="11"/>
        <v>-100</v>
      </c>
      <c r="U243" s="50" t="str">
        <f>IF(Table13232[[#This Row],[Date]]&lt;$U$4,"","Live")</f>
        <v/>
      </c>
      <c r="V243" s="45" t="str">
        <f>TEXT(Table13232[[#This Row],[Date]],"DDD")</f>
        <v>Sat</v>
      </c>
      <c r="W243" s="45" t="str">
        <f>PROPER(TRIM(Table13232[[#This Row],[Horse]]))</f>
        <v>Ducasse</v>
      </c>
    </row>
    <row r="244" spans="1:23" x14ac:dyDescent="0.25">
      <c r="A244" s="43">
        <v>45773</v>
      </c>
      <c r="B244" s="44">
        <v>0.6875</v>
      </c>
      <c r="C244" s="44" t="s">
        <v>36</v>
      </c>
      <c r="D244" s="45">
        <v>8</v>
      </c>
      <c r="E244" s="45">
        <v>4</v>
      </c>
      <c r="F244" s="46" t="s">
        <v>413</v>
      </c>
      <c r="G244" s="46"/>
      <c r="H244" s="47"/>
      <c r="I244" s="52" t="s">
        <v>297</v>
      </c>
      <c r="J244" s="45" t="str">
        <f>VLOOKUP(Table13232[[#This Row],[Track]],$C$836:$E$882,2,FALSE)</f>
        <v>Vic</v>
      </c>
      <c r="K244" s="49">
        <v>100</v>
      </c>
      <c r="L244" s="45" t="str">
        <f>IF(Table13232[[#This Row],[Fin]]&lt;&gt;"1st","",Table13232[[#This Row],[Div]]*Table13232[[#This Row],[Lev Bet]])</f>
        <v/>
      </c>
      <c r="M244" s="45">
        <f>IF(Table13232[[#This Row],[Lev Ret]]="",Table13232[[#This Row],[Lev Bet]]*-1,L244-K244)</f>
        <v>-100</v>
      </c>
      <c r="N244" s="135">
        <v>100</v>
      </c>
      <c r="O244" s="135" t="str">
        <f>IF(Table13232[[#This Row],[Fin]]&lt;&gt;"1st","",Table13232[[#This Row],[Div]]*Table13232[[#This Row],[Nat and Combo Bet]])</f>
        <v/>
      </c>
      <c r="P244" s="135">
        <f>IF(Table13232[[#This Row],[Lev Ret]]="",Table13232[[#This Row],[Nat and Combo Bet]]*-1,O244-N244)</f>
        <v>-100</v>
      </c>
      <c r="Q244" s="50">
        <f t="shared" si="9"/>
        <v>1</v>
      </c>
      <c r="R244" s="50">
        <f>IF(AND(Q243=2,Q244=1),"",IF(Q244=2,(N244+N245)/2,IF(Table13232[[#This Row],[Dual Listing]]=1,Table13232[[#This Row],[Nat and Combo Bet]],11)))</f>
        <v>100</v>
      </c>
      <c r="S244" s="50" t="str">
        <f t="shared" si="10"/>
        <v/>
      </c>
      <c r="T244" s="50">
        <f t="shared" si="11"/>
        <v>-100</v>
      </c>
      <c r="U244" s="50" t="str">
        <f>IF(Table13232[[#This Row],[Date]]&lt;$U$4,"","Live")</f>
        <v/>
      </c>
      <c r="V244" s="45" t="str">
        <f>TEXT(Table13232[[#This Row],[Date]],"DDD")</f>
        <v>Sat</v>
      </c>
      <c r="W244" s="45" t="str">
        <f>PROPER(TRIM(Table13232[[#This Row],[Horse]]))</f>
        <v>Khor</v>
      </c>
    </row>
    <row r="245" spans="1:23" x14ac:dyDescent="0.25">
      <c r="A245" s="43">
        <v>45773</v>
      </c>
      <c r="B245" s="44">
        <v>0.6875</v>
      </c>
      <c r="C245" s="44" t="s">
        <v>36</v>
      </c>
      <c r="D245" s="45">
        <v>8</v>
      </c>
      <c r="E245" s="45">
        <v>7</v>
      </c>
      <c r="F245" s="46" t="s">
        <v>414</v>
      </c>
      <c r="G245" s="46"/>
      <c r="H245" s="47"/>
      <c r="I245" s="52" t="s">
        <v>297</v>
      </c>
      <c r="J245" s="45" t="str">
        <f>VLOOKUP(Table13232[[#This Row],[Track]],$C$836:$E$882,2,FALSE)</f>
        <v>Vic</v>
      </c>
      <c r="K245" s="49">
        <v>100</v>
      </c>
      <c r="L245" s="45" t="str">
        <f>IF(Table13232[[#This Row],[Fin]]&lt;&gt;"1st","",Table13232[[#This Row],[Div]]*Table13232[[#This Row],[Lev Bet]])</f>
        <v/>
      </c>
      <c r="M245" s="45">
        <f>IF(Table13232[[#This Row],[Lev Ret]]="",Table13232[[#This Row],[Lev Bet]]*-1,L245-K245)</f>
        <v>-100</v>
      </c>
      <c r="N245" s="135">
        <v>50</v>
      </c>
      <c r="O245" s="135" t="str">
        <f>IF(Table13232[[#This Row],[Fin]]&lt;&gt;"1st","",Table13232[[#This Row],[Div]]*Table13232[[#This Row],[Nat and Combo Bet]])</f>
        <v/>
      </c>
      <c r="P245" s="135">
        <f>IF(Table13232[[#This Row],[Lev Ret]]="",Table13232[[#This Row],[Nat and Combo Bet]]*-1,O245-N245)</f>
        <v>-50</v>
      </c>
      <c r="Q245" s="50">
        <f t="shared" si="9"/>
        <v>1</v>
      </c>
      <c r="R245" s="50">
        <f>IF(AND(Q244=2,Q245=1),"",IF(Q245=2,(N245+N246)/2,IF(Table13232[[#This Row],[Dual Listing]]=1,Table13232[[#This Row],[Nat and Combo Bet]],11)))</f>
        <v>50</v>
      </c>
      <c r="S245" s="50" t="str">
        <f t="shared" si="10"/>
        <v/>
      </c>
      <c r="T245" s="50">
        <f t="shared" si="11"/>
        <v>-50</v>
      </c>
      <c r="U245" s="50" t="str">
        <f>IF(Table13232[[#This Row],[Date]]&lt;$U$4,"","Live")</f>
        <v/>
      </c>
      <c r="V245" s="45" t="str">
        <f>TEXT(Table13232[[#This Row],[Date]],"DDD")</f>
        <v>Sat</v>
      </c>
      <c r="W245" s="45" t="str">
        <f>PROPER(TRIM(Table13232[[#This Row],[Horse]]))</f>
        <v>Roguery</v>
      </c>
    </row>
    <row r="246" spans="1:23" x14ac:dyDescent="0.25">
      <c r="A246" s="43">
        <v>45773</v>
      </c>
      <c r="B246" s="44">
        <v>0.71527777777777779</v>
      </c>
      <c r="C246" s="44" t="s">
        <v>36</v>
      </c>
      <c r="D246" s="45">
        <v>9</v>
      </c>
      <c r="E246" s="45">
        <v>8</v>
      </c>
      <c r="F246" s="46" t="s">
        <v>61</v>
      </c>
      <c r="G246" s="46" t="s">
        <v>21</v>
      </c>
      <c r="H246" s="47">
        <v>3</v>
      </c>
      <c r="I246" s="52" t="s">
        <v>297</v>
      </c>
      <c r="J246" s="45" t="str">
        <f>VLOOKUP(Table13232[[#This Row],[Track]],$C$836:$E$882,2,FALSE)</f>
        <v>Vic</v>
      </c>
      <c r="K246" s="49">
        <v>100</v>
      </c>
      <c r="L246" s="45">
        <f>IF(Table13232[[#This Row],[Fin]]&lt;&gt;"1st","",Table13232[[#This Row],[Div]]*Table13232[[#This Row],[Lev Bet]])</f>
        <v>300</v>
      </c>
      <c r="M246" s="45">
        <f>IF(Table13232[[#This Row],[Lev Ret]]="",Table13232[[#This Row],[Lev Bet]]*-1,L246-K246)</f>
        <v>200</v>
      </c>
      <c r="N246" s="135">
        <v>150</v>
      </c>
      <c r="O246" s="135">
        <f>IF(Table13232[[#This Row],[Fin]]&lt;&gt;"1st","",Table13232[[#This Row],[Div]]*Table13232[[#This Row],[Nat and Combo Bet]])</f>
        <v>450</v>
      </c>
      <c r="P246" s="135">
        <f>IF(Table13232[[#This Row],[Lev Ret]]="",Table13232[[#This Row],[Nat and Combo Bet]]*-1,O246-N246)</f>
        <v>300</v>
      </c>
      <c r="Q246" s="50">
        <f t="shared" si="9"/>
        <v>1</v>
      </c>
      <c r="R246" s="50">
        <f>IF(AND(Q245=2,Q246=1),"",IF(Q246=2,(N246+N247)/2,IF(Table13232[[#This Row],[Dual Listing]]=1,Table13232[[#This Row],[Nat and Combo Bet]],11)))</f>
        <v>150</v>
      </c>
      <c r="S246" s="50">
        <f t="shared" si="10"/>
        <v>450</v>
      </c>
      <c r="T246" s="50">
        <f t="shared" si="11"/>
        <v>300</v>
      </c>
      <c r="U246" s="50" t="str">
        <f>IF(Table13232[[#This Row],[Date]]&lt;$U$4,"","Live")</f>
        <v/>
      </c>
      <c r="V246" s="45" t="str">
        <f>TEXT(Table13232[[#This Row],[Date]],"DDD")</f>
        <v>Sat</v>
      </c>
      <c r="W246" s="45" t="str">
        <f>PROPER(TRIM(Table13232[[#This Row],[Horse]]))</f>
        <v>Waimarie</v>
      </c>
    </row>
    <row r="247" spans="1:23" x14ac:dyDescent="0.25">
      <c r="A247" s="43">
        <v>45780</v>
      </c>
      <c r="B247" s="44">
        <v>0.52638888888888891</v>
      </c>
      <c r="C247" s="44" t="s">
        <v>12</v>
      </c>
      <c r="D247" s="45">
        <v>2</v>
      </c>
      <c r="E247" s="45">
        <v>4</v>
      </c>
      <c r="F247" s="46" t="s">
        <v>158</v>
      </c>
      <c r="G247" s="46" t="s">
        <v>21</v>
      </c>
      <c r="H247" s="47">
        <v>1.6</v>
      </c>
      <c r="I247" s="47" t="s">
        <v>298</v>
      </c>
      <c r="J247" s="45" t="str">
        <f>VLOOKUP(Table13232[[#This Row],[Track]],$C$836:$E$882,2,FALSE)</f>
        <v>Qld</v>
      </c>
      <c r="K247" s="49">
        <v>100</v>
      </c>
      <c r="L247" s="45">
        <f>IF(Table13232[[#This Row],[Fin]]&lt;&gt;"1st","",Table13232[[#This Row],[Div]]*Table13232[[#This Row],[Lev Bet]])</f>
        <v>160</v>
      </c>
      <c r="M247" s="45">
        <f>IF(Table13232[[#This Row],[Lev Ret]]="",Table13232[[#This Row],[Lev Bet]]*-1,L247-K247)</f>
        <v>60</v>
      </c>
      <c r="N247" s="135">
        <v>100</v>
      </c>
      <c r="O247" s="135">
        <f>IF(Table13232[[#This Row],[Fin]]&lt;&gt;"1st","",Table13232[[#This Row],[Div]]*Table13232[[#This Row],[Nat and Combo Bet]])</f>
        <v>160</v>
      </c>
      <c r="P247" s="135">
        <f>IF(Table13232[[#This Row],[Lev Ret]]="",Table13232[[#This Row],[Nat and Combo Bet]]*-1,O247-N247)</f>
        <v>60</v>
      </c>
      <c r="Q247" s="50">
        <f t="shared" si="9"/>
        <v>1</v>
      </c>
      <c r="R247" s="50">
        <f>IF(AND(Q246=2,Q247=1),"",IF(Q247=2,(N247+N248)/2,IF(Table13232[[#This Row],[Dual Listing]]=1,Table13232[[#This Row],[Nat and Combo Bet]],11)))</f>
        <v>100</v>
      </c>
      <c r="S247" s="50">
        <f t="shared" si="10"/>
        <v>160</v>
      </c>
      <c r="T247" s="50">
        <f t="shared" si="11"/>
        <v>60</v>
      </c>
      <c r="U247" s="50" t="str">
        <f>IF(Table13232[[#This Row],[Date]]&lt;$U$4,"","Live")</f>
        <v/>
      </c>
      <c r="V247" s="45" t="str">
        <f>TEXT(Table13232[[#This Row],[Date]],"DDD")</f>
        <v>Sat</v>
      </c>
      <c r="W247" s="45" t="str">
        <f>PROPER(TRIM(Table13232[[#This Row],[Horse]]))</f>
        <v>Floozie</v>
      </c>
    </row>
    <row r="248" spans="1:23" x14ac:dyDescent="0.25">
      <c r="A248" s="43">
        <v>45780</v>
      </c>
      <c r="B248" s="44">
        <v>0.53125</v>
      </c>
      <c r="C248" s="44" t="s">
        <v>34</v>
      </c>
      <c r="D248" s="45">
        <v>2</v>
      </c>
      <c r="E248" s="45">
        <v>5</v>
      </c>
      <c r="F248" s="46" t="s">
        <v>415</v>
      </c>
      <c r="G248" s="46" t="s">
        <v>476</v>
      </c>
      <c r="H248" s="47"/>
      <c r="I248" s="52" t="s">
        <v>297</v>
      </c>
      <c r="J248" s="45" t="str">
        <f>VLOOKUP(Table13232[[#This Row],[Track]],$C$836:$E$882,2,FALSE)</f>
        <v>Vic</v>
      </c>
      <c r="K248" s="49">
        <v>100</v>
      </c>
      <c r="L248" s="45" t="str">
        <f>IF(Table13232[[#This Row],[Fin]]&lt;&gt;"1st","",Table13232[[#This Row],[Div]]*Table13232[[#This Row],[Lev Bet]])</f>
        <v/>
      </c>
      <c r="M248" s="45">
        <f>IF(Table13232[[#This Row],[Lev Ret]]="",Table13232[[#This Row],[Lev Bet]]*-1,L248-K248)</f>
        <v>-100</v>
      </c>
      <c r="N248" s="135">
        <v>100</v>
      </c>
      <c r="O248" s="135" t="str">
        <f>IF(Table13232[[#This Row],[Fin]]&lt;&gt;"1st","",Table13232[[#This Row],[Div]]*Table13232[[#This Row],[Nat and Combo Bet]])</f>
        <v/>
      </c>
      <c r="P248" s="135">
        <f>IF(Table13232[[#This Row],[Lev Ret]]="",Table13232[[#This Row],[Nat and Combo Bet]]*-1,O248-N248)</f>
        <v>-100</v>
      </c>
      <c r="Q248" s="50">
        <f t="shared" si="9"/>
        <v>1</v>
      </c>
      <c r="R248" s="50">
        <f>IF(AND(Q247=2,Q248=1),"",IF(Q248=2,(N248+N249)/2,IF(Table13232[[#This Row],[Dual Listing]]=1,Table13232[[#This Row],[Nat and Combo Bet]],11)))</f>
        <v>100</v>
      </c>
      <c r="S248" s="50" t="str">
        <f t="shared" si="10"/>
        <v/>
      </c>
      <c r="T248" s="50">
        <f t="shared" si="11"/>
        <v>-100</v>
      </c>
      <c r="U248" s="50" t="str">
        <f>IF(Table13232[[#This Row],[Date]]&lt;$U$4,"","Live")</f>
        <v/>
      </c>
      <c r="V248" s="45" t="str">
        <f>TEXT(Table13232[[#This Row],[Date]],"DDD")</f>
        <v>Sat</v>
      </c>
      <c r="W248" s="45" t="str">
        <f>PROPER(TRIM(Table13232[[#This Row],[Horse]]))</f>
        <v>Smart Little Miss</v>
      </c>
    </row>
    <row r="249" spans="1:23" x14ac:dyDescent="0.25">
      <c r="A249" s="43">
        <v>45780</v>
      </c>
      <c r="B249" s="44">
        <v>0.55555555555555558</v>
      </c>
      <c r="C249" s="44" t="s">
        <v>34</v>
      </c>
      <c r="D249" s="45">
        <v>3</v>
      </c>
      <c r="E249" s="45">
        <v>3</v>
      </c>
      <c r="F249" s="46" t="s">
        <v>416</v>
      </c>
      <c r="G249" s="46"/>
      <c r="H249" s="47"/>
      <c r="I249" s="52" t="s">
        <v>297</v>
      </c>
      <c r="J249" s="45" t="str">
        <f>VLOOKUP(Table13232[[#This Row],[Track]],$C$836:$E$882,2,FALSE)</f>
        <v>Vic</v>
      </c>
      <c r="K249" s="49">
        <v>100</v>
      </c>
      <c r="L249" s="45" t="str">
        <f>IF(Table13232[[#This Row],[Fin]]&lt;&gt;"1st","",Table13232[[#This Row],[Div]]*Table13232[[#This Row],[Lev Bet]])</f>
        <v/>
      </c>
      <c r="M249" s="45">
        <f>IF(Table13232[[#This Row],[Lev Ret]]="",Table13232[[#This Row],[Lev Bet]]*-1,L249-K249)</f>
        <v>-100</v>
      </c>
      <c r="N249" s="135">
        <v>50</v>
      </c>
      <c r="O249" s="135" t="str">
        <f>IF(Table13232[[#This Row],[Fin]]&lt;&gt;"1st","",Table13232[[#This Row],[Div]]*Table13232[[#This Row],[Nat and Combo Bet]])</f>
        <v/>
      </c>
      <c r="P249" s="135">
        <f>IF(Table13232[[#This Row],[Lev Ret]]="",Table13232[[#This Row],[Nat and Combo Bet]]*-1,O249-N249)</f>
        <v>-50</v>
      </c>
      <c r="Q249" s="50">
        <f t="shared" si="9"/>
        <v>1</v>
      </c>
      <c r="R249" s="50">
        <f>IF(AND(Q248=2,Q249=1),"",IF(Q249=2,(N249+N250)/2,IF(Table13232[[#This Row],[Dual Listing]]=1,Table13232[[#This Row],[Nat and Combo Bet]],11)))</f>
        <v>50</v>
      </c>
      <c r="S249" s="50" t="str">
        <f t="shared" si="10"/>
        <v/>
      </c>
      <c r="T249" s="50">
        <f t="shared" si="11"/>
        <v>-50</v>
      </c>
      <c r="U249" s="50" t="str">
        <f>IF(Table13232[[#This Row],[Date]]&lt;$U$4,"","Live")</f>
        <v/>
      </c>
      <c r="V249" s="45" t="str">
        <f>TEXT(Table13232[[#This Row],[Date]],"DDD")</f>
        <v>Sat</v>
      </c>
      <c r="W249" s="45" t="str">
        <f>PROPER(TRIM(Table13232[[#This Row],[Horse]]))</f>
        <v>Scampi</v>
      </c>
    </row>
    <row r="250" spans="1:23" x14ac:dyDescent="0.25">
      <c r="A250" s="43">
        <v>45780</v>
      </c>
      <c r="B250" s="44">
        <v>0.57499999999999996</v>
      </c>
      <c r="C250" s="44" t="s">
        <v>12</v>
      </c>
      <c r="D250" s="45">
        <v>4</v>
      </c>
      <c r="E250" s="45">
        <v>9</v>
      </c>
      <c r="F250" s="46" t="s">
        <v>159</v>
      </c>
      <c r="G250" s="46"/>
      <c r="H250" s="47"/>
      <c r="I250" s="47" t="s">
        <v>298</v>
      </c>
      <c r="J250" s="45" t="str">
        <f>VLOOKUP(Table13232[[#This Row],[Track]],$C$836:$E$882,2,FALSE)</f>
        <v>Qld</v>
      </c>
      <c r="K250" s="49">
        <v>100</v>
      </c>
      <c r="L250" s="45" t="str">
        <f>IF(Table13232[[#This Row],[Fin]]&lt;&gt;"1st","",Table13232[[#This Row],[Div]]*Table13232[[#This Row],[Lev Bet]])</f>
        <v/>
      </c>
      <c r="M250" s="45">
        <f>IF(Table13232[[#This Row],[Lev Ret]]="",Table13232[[#This Row],[Lev Bet]]*-1,L250-K250)</f>
        <v>-100</v>
      </c>
      <c r="N250" s="135">
        <v>100</v>
      </c>
      <c r="O250" s="135" t="str">
        <f>IF(Table13232[[#This Row],[Fin]]&lt;&gt;"1st","",Table13232[[#This Row],[Div]]*Table13232[[#This Row],[Nat and Combo Bet]])</f>
        <v/>
      </c>
      <c r="P250" s="135">
        <f>IF(Table13232[[#This Row],[Lev Ret]]="",Table13232[[#This Row],[Nat and Combo Bet]]*-1,O250-N250)</f>
        <v>-100</v>
      </c>
      <c r="Q250" s="50">
        <f t="shared" si="9"/>
        <v>1</v>
      </c>
      <c r="R250" s="50">
        <f>IF(AND(Q249=2,Q250=1),"",IF(Q250=2,(N250+N251)/2,IF(Table13232[[#This Row],[Dual Listing]]=1,Table13232[[#This Row],[Nat and Combo Bet]],11)))</f>
        <v>100</v>
      </c>
      <c r="S250" s="50" t="str">
        <f t="shared" si="10"/>
        <v/>
      </c>
      <c r="T250" s="50">
        <f t="shared" si="11"/>
        <v>-100</v>
      </c>
      <c r="U250" s="50" t="str">
        <f>IF(Table13232[[#This Row],[Date]]&lt;$U$4,"","Live")</f>
        <v/>
      </c>
      <c r="V250" s="45" t="str">
        <f>TEXT(Table13232[[#This Row],[Date]],"DDD")</f>
        <v>Sat</v>
      </c>
      <c r="W250" s="45" t="str">
        <f>PROPER(TRIM(Table13232[[#This Row],[Horse]]))</f>
        <v>Demon Darb</v>
      </c>
    </row>
    <row r="251" spans="1:23" x14ac:dyDescent="0.25">
      <c r="A251" s="43">
        <v>45780</v>
      </c>
      <c r="B251" s="44">
        <v>0.57986111111111116</v>
      </c>
      <c r="C251" s="44" t="s">
        <v>34</v>
      </c>
      <c r="D251" s="45">
        <v>4</v>
      </c>
      <c r="E251" s="45">
        <v>7</v>
      </c>
      <c r="F251" s="46" t="s">
        <v>493</v>
      </c>
      <c r="G251" s="46"/>
      <c r="H251" s="47"/>
      <c r="I251" s="47" t="s">
        <v>298</v>
      </c>
      <c r="J251" s="45" t="str">
        <f>VLOOKUP(Table13232[[#This Row],[Track]],$C$836:$E$882,2,FALSE)</f>
        <v>Vic</v>
      </c>
      <c r="K251" s="49">
        <v>100</v>
      </c>
      <c r="L251" s="45" t="str">
        <f>IF(Table13232[[#This Row],[Fin]]&lt;&gt;"1st","",Table13232[[#This Row],[Div]]*Table13232[[#This Row],[Lev Bet]])</f>
        <v/>
      </c>
      <c r="M251" s="45">
        <f>IF(Table13232[[#This Row],[Lev Ret]]="",Table13232[[#This Row],[Lev Bet]]*-1,L251-K251)</f>
        <v>-100</v>
      </c>
      <c r="N251" s="135">
        <v>100</v>
      </c>
      <c r="O251" s="135" t="str">
        <f>IF(Table13232[[#This Row],[Fin]]&lt;&gt;"1st","",Table13232[[#This Row],[Div]]*Table13232[[#This Row],[Nat and Combo Bet]])</f>
        <v/>
      </c>
      <c r="P251" s="135">
        <f>IF(Table13232[[#This Row],[Lev Ret]]="",Table13232[[#This Row],[Nat and Combo Bet]]*-1,O251-N251)</f>
        <v>-100</v>
      </c>
      <c r="Q251" s="50">
        <f t="shared" si="9"/>
        <v>1</v>
      </c>
      <c r="R251" s="50">
        <f>IF(AND(Q250=2,Q251=1),"",IF(Q251=2,(N251+N252)/2,IF(Table13232[[#This Row],[Dual Listing]]=1,Table13232[[#This Row],[Nat and Combo Bet]],11)))</f>
        <v>100</v>
      </c>
      <c r="S251" s="50" t="str">
        <f t="shared" si="10"/>
        <v/>
      </c>
      <c r="T251" s="50">
        <f t="shared" si="11"/>
        <v>-100</v>
      </c>
      <c r="U251" s="50" t="str">
        <f>IF(Table13232[[#This Row],[Date]]&lt;$U$4,"","Live")</f>
        <v/>
      </c>
      <c r="V251" s="45" t="str">
        <f>TEXT(Table13232[[#This Row],[Date]],"DDD")</f>
        <v>Sat</v>
      </c>
      <c r="W251" s="45" t="str">
        <f>PROPER(TRIM(Table13232[[#This Row],[Horse]]))</f>
        <v>Sugar Coat</v>
      </c>
    </row>
    <row r="252" spans="1:23" x14ac:dyDescent="0.25">
      <c r="A252" s="43">
        <v>45780</v>
      </c>
      <c r="B252" s="44">
        <v>0.59930555555555554</v>
      </c>
      <c r="C252" s="44" t="s">
        <v>12</v>
      </c>
      <c r="D252" s="45">
        <v>5</v>
      </c>
      <c r="E252" s="45">
        <v>11</v>
      </c>
      <c r="F252" s="46" t="s">
        <v>116</v>
      </c>
      <c r="G252" s="46"/>
      <c r="H252" s="47"/>
      <c r="I252" s="47" t="s">
        <v>298</v>
      </c>
      <c r="J252" s="45" t="str">
        <f>VLOOKUP(Table13232[[#This Row],[Track]],$C$836:$E$882,2,FALSE)</f>
        <v>Qld</v>
      </c>
      <c r="K252" s="49">
        <v>100</v>
      </c>
      <c r="L252" s="45" t="str">
        <f>IF(Table13232[[#This Row],[Fin]]&lt;&gt;"1st","",Table13232[[#This Row],[Div]]*Table13232[[#This Row],[Lev Bet]])</f>
        <v/>
      </c>
      <c r="M252" s="45">
        <f>IF(Table13232[[#This Row],[Lev Ret]]="",Table13232[[#This Row],[Lev Bet]]*-1,L252-K252)</f>
        <v>-100</v>
      </c>
      <c r="N252" s="135">
        <v>100</v>
      </c>
      <c r="O252" s="135" t="str">
        <f>IF(Table13232[[#This Row],[Fin]]&lt;&gt;"1st","",Table13232[[#This Row],[Div]]*Table13232[[#This Row],[Nat and Combo Bet]])</f>
        <v/>
      </c>
      <c r="P252" s="135">
        <f>IF(Table13232[[#This Row],[Lev Ret]]="",Table13232[[#This Row],[Nat and Combo Bet]]*-1,O252-N252)</f>
        <v>-100</v>
      </c>
      <c r="Q252" s="50">
        <f t="shared" si="9"/>
        <v>1</v>
      </c>
      <c r="R252" s="50">
        <f>IF(AND(Q251=2,Q252=1),"",IF(Q252=2,(N252+N253)/2,IF(Table13232[[#This Row],[Dual Listing]]=1,Table13232[[#This Row],[Nat and Combo Bet]],11)))</f>
        <v>100</v>
      </c>
      <c r="S252" s="50" t="str">
        <f t="shared" si="10"/>
        <v/>
      </c>
      <c r="T252" s="50">
        <f t="shared" si="11"/>
        <v>-100</v>
      </c>
      <c r="U252" s="50" t="str">
        <f>IF(Table13232[[#This Row],[Date]]&lt;$U$4,"","Live")</f>
        <v/>
      </c>
      <c r="V252" s="45" t="str">
        <f>TEXT(Table13232[[#This Row],[Date]],"DDD")</f>
        <v>Sat</v>
      </c>
      <c r="W252" s="45" t="str">
        <f>PROPER(TRIM(Table13232[[#This Row],[Horse]]))</f>
        <v>Anemacore</v>
      </c>
    </row>
    <row r="253" spans="1:23" x14ac:dyDescent="0.25">
      <c r="A253" s="43">
        <v>45780</v>
      </c>
      <c r="B253" s="44">
        <v>0.60416666666666663</v>
      </c>
      <c r="C253" s="44" t="s">
        <v>34</v>
      </c>
      <c r="D253" s="45">
        <v>5</v>
      </c>
      <c r="E253" s="45">
        <v>7</v>
      </c>
      <c r="F253" s="46" t="s">
        <v>417</v>
      </c>
      <c r="G253" s="46"/>
      <c r="H253" s="47"/>
      <c r="I253" s="52" t="s">
        <v>297</v>
      </c>
      <c r="J253" s="45" t="str">
        <f>VLOOKUP(Table13232[[#This Row],[Track]],$C$836:$E$882,2,FALSE)</f>
        <v>Vic</v>
      </c>
      <c r="K253" s="49">
        <v>100</v>
      </c>
      <c r="L253" s="45" t="str">
        <f>IF(Table13232[[#This Row],[Fin]]&lt;&gt;"1st","",Table13232[[#This Row],[Div]]*Table13232[[#This Row],[Lev Bet]])</f>
        <v/>
      </c>
      <c r="M253" s="45">
        <f>IF(Table13232[[#This Row],[Lev Ret]]="",Table13232[[#This Row],[Lev Bet]]*-1,L253-K253)</f>
        <v>-100</v>
      </c>
      <c r="N253" s="135">
        <v>50</v>
      </c>
      <c r="O253" s="135" t="str">
        <f>IF(Table13232[[#This Row],[Fin]]&lt;&gt;"1st","",Table13232[[#This Row],[Div]]*Table13232[[#This Row],[Nat and Combo Bet]])</f>
        <v/>
      </c>
      <c r="P253" s="135">
        <f>IF(Table13232[[#This Row],[Lev Ret]]="",Table13232[[#This Row],[Nat and Combo Bet]]*-1,O253-N253)</f>
        <v>-50</v>
      </c>
      <c r="Q253" s="50">
        <f t="shared" si="9"/>
        <v>1</v>
      </c>
      <c r="R253" s="50">
        <f>IF(AND(Q252=2,Q253=1),"",IF(Q253=2,(N253+N254)/2,IF(Table13232[[#This Row],[Dual Listing]]=1,Table13232[[#This Row],[Nat and Combo Bet]],11)))</f>
        <v>50</v>
      </c>
      <c r="S253" s="50" t="str">
        <f t="shared" si="10"/>
        <v/>
      </c>
      <c r="T253" s="50">
        <f t="shared" si="11"/>
        <v>-50</v>
      </c>
      <c r="U253" s="50" t="str">
        <f>IF(Table13232[[#This Row],[Date]]&lt;$U$4,"","Live")</f>
        <v/>
      </c>
      <c r="V253" s="45" t="str">
        <f>TEXT(Table13232[[#This Row],[Date]],"DDD")</f>
        <v>Sat</v>
      </c>
      <c r="W253" s="45" t="str">
        <f>PROPER(TRIM(Table13232[[#This Row],[Horse]]))</f>
        <v>Perilous Fighter</v>
      </c>
    </row>
    <row r="254" spans="1:23" x14ac:dyDescent="0.25">
      <c r="A254" s="43">
        <v>45780</v>
      </c>
      <c r="B254" s="44">
        <v>0.62847222222222221</v>
      </c>
      <c r="C254" s="44" t="s">
        <v>34</v>
      </c>
      <c r="D254" s="45">
        <v>6</v>
      </c>
      <c r="E254" s="45">
        <v>3</v>
      </c>
      <c r="F254" s="46" t="s">
        <v>160</v>
      </c>
      <c r="G254" s="46" t="s">
        <v>21</v>
      </c>
      <c r="H254" s="47">
        <v>1.7</v>
      </c>
      <c r="I254" s="52" t="s">
        <v>297</v>
      </c>
      <c r="J254" s="45" t="str">
        <f>VLOOKUP(Table13232[[#This Row],[Track]],$C$836:$E$882,2,FALSE)</f>
        <v>Vic</v>
      </c>
      <c r="K254" s="49">
        <v>100</v>
      </c>
      <c r="L254" s="45">
        <f>IF(Table13232[[#This Row],[Fin]]&lt;&gt;"1st","",Table13232[[#This Row],[Div]]*Table13232[[#This Row],[Lev Bet]])</f>
        <v>170</v>
      </c>
      <c r="M254" s="45">
        <f>IF(Table13232[[#This Row],[Lev Ret]]="",Table13232[[#This Row],[Lev Bet]]*-1,L254-K254)</f>
        <v>70</v>
      </c>
      <c r="N254" s="135">
        <v>200</v>
      </c>
      <c r="O254" s="135">
        <f>IF(Table13232[[#This Row],[Fin]]&lt;&gt;"1st","",Table13232[[#This Row],[Div]]*Table13232[[#This Row],[Nat and Combo Bet]])</f>
        <v>340</v>
      </c>
      <c r="P254" s="135">
        <f>IF(Table13232[[#This Row],[Lev Ret]]="",Table13232[[#This Row],[Nat and Combo Bet]]*-1,O254-N254)</f>
        <v>140</v>
      </c>
      <c r="Q254" s="50">
        <f t="shared" si="9"/>
        <v>1</v>
      </c>
      <c r="R254" s="50">
        <f>IF(AND(Q253=2,Q254=1),"",IF(Q254=2,(N254+N255)/2,IF(Table13232[[#This Row],[Dual Listing]]=1,Table13232[[#This Row],[Nat and Combo Bet]],11)))</f>
        <v>200</v>
      </c>
      <c r="S254" s="50">
        <f t="shared" si="10"/>
        <v>340</v>
      </c>
      <c r="T254" s="50">
        <f t="shared" si="11"/>
        <v>140</v>
      </c>
      <c r="U254" s="50" t="str">
        <f>IF(Table13232[[#This Row],[Date]]&lt;$U$4,"","Live")</f>
        <v/>
      </c>
      <c r="V254" s="45" t="str">
        <f>TEXT(Table13232[[#This Row],[Date]],"DDD")</f>
        <v>Sat</v>
      </c>
      <c r="W254" s="45" t="str">
        <f>PROPER(TRIM(Table13232[[#This Row],[Horse]]))</f>
        <v>Immediacy</v>
      </c>
    </row>
    <row r="255" spans="1:23" x14ac:dyDescent="0.25">
      <c r="A255" s="43">
        <v>45780</v>
      </c>
      <c r="B255" s="44">
        <v>0.64236111111111116</v>
      </c>
      <c r="C255" s="44" t="s">
        <v>45</v>
      </c>
      <c r="D255" s="45">
        <v>8</v>
      </c>
      <c r="E255" s="45">
        <v>12</v>
      </c>
      <c r="F255" s="46" t="s">
        <v>148</v>
      </c>
      <c r="G255" s="46"/>
      <c r="H255" s="47"/>
      <c r="I255" s="52" t="s">
        <v>297</v>
      </c>
      <c r="J255" s="45" t="str">
        <f>VLOOKUP(Table13232[[#This Row],[Track]],$C$836:$E$882,2,FALSE)</f>
        <v>NSW</v>
      </c>
      <c r="K255" s="49">
        <v>100</v>
      </c>
      <c r="L255" s="45" t="str">
        <f>IF(Table13232[[#This Row],[Fin]]&lt;&gt;"1st","",Table13232[[#This Row],[Div]]*Table13232[[#This Row],[Lev Bet]])</f>
        <v/>
      </c>
      <c r="M255" s="45">
        <f>IF(Table13232[[#This Row],[Lev Ret]]="",Table13232[[#This Row],[Lev Bet]]*-1,L255-K255)</f>
        <v>-100</v>
      </c>
      <c r="N255" s="135">
        <v>100</v>
      </c>
      <c r="O255" s="135" t="str">
        <f>IF(Table13232[[#This Row],[Fin]]&lt;&gt;"1st","",Table13232[[#This Row],[Div]]*Table13232[[#This Row],[Nat and Combo Bet]])</f>
        <v/>
      </c>
      <c r="P255" s="135">
        <f>IF(Table13232[[#This Row],[Lev Ret]]="",Table13232[[#This Row],[Nat and Combo Bet]]*-1,O255-N255)</f>
        <v>-100</v>
      </c>
      <c r="Q255" s="50">
        <f t="shared" si="9"/>
        <v>1</v>
      </c>
      <c r="R255" s="50">
        <f>IF(AND(Q254=2,Q255=1),"",IF(Q255=2,(N255+N256)/2,IF(Table13232[[#This Row],[Dual Listing]]=1,Table13232[[#This Row],[Nat and Combo Bet]],11)))</f>
        <v>100</v>
      </c>
      <c r="S255" s="50" t="str">
        <f t="shared" si="10"/>
        <v/>
      </c>
      <c r="T255" s="50">
        <f t="shared" si="11"/>
        <v>-100</v>
      </c>
      <c r="U255" s="50" t="str">
        <f>IF(Table13232[[#This Row],[Date]]&lt;$U$4,"","Live")</f>
        <v/>
      </c>
      <c r="V255" s="45" t="str">
        <f>TEXT(Table13232[[#This Row],[Date]],"DDD")</f>
        <v>Sat</v>
      </c>
      <c r="W255" s="45" t="str">
        <f>PROPER(TRIM(Table13232[[#This Row],[Horse]]))</f>
        <v>Matcha Latte</v>
      </c>
    </row>
    <row r="256" spans="1:23" x14ac:dyDescent="0.25">
      <c r="A256" s="43">
        <v>45780</v>
      </c>
      <c r="B256" s="44">
        <v>0.68055555555555558</v>
      </c>
      <c r="C256" s="44" t="s">
        <v>34</v>
      </c>
      <c r="D256" s="45">
        <v>8</v>
      </c>
      <c r="E256" s="45">
        <v>2</v>
      </c>
      <c r="F256" s="46" t="s">
        <v>73</v>
      </c>
      <c r="G256" s="46"/>
      <c r="H256" s="47"/>
      <c r="I256" s="52" t="s">
        <v>297</v>
      </c>
      <c r="J256" s="45" t="str">
        <f>VLOOKUP(Table13232[[#This Row],[Track]],$C$836:$E$882,2,FALSE)</f>
        <v>Vic</v>
      </c>
      <c r="K256" s="49">
        <v>100</v>
      </c>
      <c r="L256" s="45" t="str">
        <f>IF(Table13232[[#This Row],[Fin]]&lt;&gt;"1st","",Table13232[[#This Row],[Div]]*Table13232[[#This Row],[Lev Bet]])</f>
        <v/>
      </c>
      <c r="M256" s="45">
        <f>IF(Table13232[[#This Row],[Lev Ret]]="",Table13232[[#This Row],[Lev Bet]]*-1,L256-K256)</f>
        <v>-100</v>
      </c>
      <c r="N256" s="135">
        <v>150</v>
      </c>
      <c r="O256" s="135" t="str">
        <f>IF(Table13232[[#This Row],[Fin]]&lt;&gt;"1st","",Table13232[[#This Row],[Div]]*Table13232[[#This Row],[Nat and Combo Bet]])</f>
        <v/>
      </c>
      <c r="P256" s="135">
        <f>IF(Table13232[[#This Row],[Lev Ret]]="",Table13232[[#This Row],[Nat and Combo Bet]]*-1,O256-N256)</f>
        <v>-150</v>
      </c>
      <c r="Q256" s="50">
        <f t="shared" si="9"/>
        <v>1</v>
      </c>
      <c r="R256" s="50">
        <f>IF(AND(Q255=2,Q256=1),"",IF(Q256=2,(N256+N257)/2,IF(Table13232[[#This Row],[Dual Listing]]=1,Table13232[[#This Row],[Nat and Combo Bet]],11)))</f>
        <v>150</v>
      </c>
      <c r="S256" s="50" t="str">
        <f t="shared" si="10"/>
        <v/>
      </c>
      <c r="T256" s="50">
        <f t="shared" si="11"/>
        <v>-150</v>
      </c>
      <c r="U256" s="50" t="str">
        <f>IF(Table13232[[#This Row],[Date]]&lt;$U$4,"","Live")</f>
        <v/>
      </c>
      <c r="V256" s="45" t="str">
        <f>TEXT(Table13232[[#This Row],[Date]],"DDD")</f>
        <v>Sat</v>
      </c>
      <c r="W256" s="45" t="str">
        <f>PROPER(TRIM(Table13232[[#This Row],[Horse]]))</f>
        <v>Regal Zeus</v>
      </c>
    </row>
    <row r="257" spans="1:23" x14ac:dyDescent="0.25">
      <c r="A257" s="43">
        <v>45780</v>
      </c>
      <c r="B257" s="44">
        <v>0.69791666666666663</v>
      </c>
      <c r="C257" s="44" t="s">
        <v>45</v>
      </c>
      <c r="D257" s="45">
        <v>10</v>
      </c>
      <c r="E257" s="45">
        <v>7</v>
      </c>
      <c r="F257" s="46" t="s">
        <v>418</v>
      </c>
      <c r="G257" s="46" t="s">
        <v>23</v>
      </c>
      <c r="H257" s="47"/>
      <c r="I257" s="52" t="s">
        <v>297</v>
      </c>
      <c r="J257" s="45" t="str">
        <f>VLOOKUP(Table13232[[#This Row],[Track]],$C$836:$E$882,2,FALSE)</f>
        <v>NSW</v>
      </c>
      <c r="K257" s="49">
        <v>100</v>
      </c>
      <c r="L257" s="45" t="str">
        <f>IF(Table13232[[#This Row],[Fin]]&lt;&gt;"1st","",Table13232[[#This Row],[Div]]*Table13232[[#This Row],[Lev Bet]])</f>
        <v/>
      </c>
      <c r="M257" s="45">
        <f>IF(Table13232[[#This Row],[Lev Ret]]="",Table13232[[#This Row],[Lev Bet]]*-1,L257-K257)</f>
        <v>-100</v>
      </c>
      <c r="N257" s="135">
        <v>150</v>
      </c>
      <c r="O257" s="135" t="str">
        <f>IF(Table13232[[#This Row],[Fin]]&lt;&gt;"1st","",Table13232[[#This Row],[Div]]*Table13232[[#This Row],[Nat and Combo Bet]])</f>
        <v/>
      </c>
      <c r="P257" s="135">
        <f>IF(Table13232[[#This Row],[Lev Ret]]="",Table13232[[#This Row],[Nat and Combo Bet]]*-1,O257-N257)</f>
        <v>-150</v>
      </c>
      <c r="Q257" s="50">
        <f t="shared" si="9"/>
        <v>1</v>
      </c>
      <c r="R257" s="50">
        <f>IF(AND(Q256=2,Q257=1),"",IF(Q257=2,(N257+N258)/2,IF(Table13232[[#This Row],[Dual Listing]]=1,Table13232[[#This Row],[Nat and Combo Bet]],11)))</f>
        <v>150</v>
      </c>
      <c r="S257" s="50" t="str">
        <f t="shared" si="10"/>
        <v/>
      </c>
      <c r="T257" s="50">
        <f t="shared" si="11"/>
        <v>-150</v>
      </c>
      <c r="U257" s="50" t="str">
        <f>IF(Table13232[[#This Row],[Date]]&lt;$U$4,"","Live")</f>
        <v/>
      </c>
      <c r="V257" s="45" t="str">
        <f>TEXT(Table13232[[#This Row],[Date]],"DDD")</f>
        <v>Sat</v>
      </c>
      <c r="W257" s="45" t="str">
        <f>PROPER(TRIM(Table13232[[#This Row],[Horse]]))</f>
        <v>Gallant Star</v>
      </c>
    </row>
    <row r="258" spans="1:23" x14ac:dyDescent="0.25">
      <c r="A258" s="43">
        <v>45780</v>
      </c>
      <c r="B258" s="44">
        <v>0.70486111111111116</v>
      </c>
      <c r="C258" s="44" t="s">
        <v>34</v>
      </c>
      <c r="D258" s="45">
        <v>9</v>
      </c>
      <c r="E258" s="45">
        <v>7</v>
      </c>
      <c r="F258" s="46" t="s">
        <v>141</v>
      </c>
      <c r="G258" s="46" t="s">
        <v>22</v>
      </c>
      <c r="H258" s="47"/>
      <c r="I258" s="52" t="s">
        <v>297</v>
      </c>
      <c r="J258" s="45" t="str">
        <f>VLOOKUP(Table13232[[#This Row],[Track]],$C$836:$E$882,2,FALSE)</f>
        <v>Vic</v>
      </c>
      <c r="K258" s="49">
        <v>100</v>
      </c>
      <c r="L258" s="45" t="str">
        <f>IF(Table13232[[#This Row],[Fin]]&lt;&gt;"1st","",Table13232[[#This Row],[Div]]*Table13232[[#This Row],[Lev Bet]])</f>
        <v/>
      </c>
      <c r="M258" s="45">
        <f>IF(Table13232[[#This Row],[Lev Ret]]="",Table13232[[#This Row],[Lev Bet]]*-1,L258-K258)</f>
        <v>-100</v>
      </c>
      <c r="N258" s="135">
        <v>100</v>
      </c>
      <c r="O258" s="135" t="str">
        <f>IF(Table13232[[#This Row],[Fin]]&lt;&gt;"1st","",Table13232[[#This Row],[Div]]*Table13232[[#This Row],[Nat and Combo Bet]])</f>
        <v/>
      </c>
      <c r="P258" s="135">
        <f>IF(Table13232[[#This Row],[Lev Ret]]="",Table13232[[#This Row],[Nat and Combo Bet]]*-1,O258-N258)</f>
        <v>-100</v>
      </c>
      <c r="Q258" s="50">
        <f t="shared" si="9"/>
        <v>1</v>
      </c>
      <c r="R258" s="50">
        <f>IF(AND(Q257=2,Q258=1),"",IF(Q258=2,(N258+N259)/2,IF(Table13232[[#This Row],[Dual Listing]]=1,Table13232[[#This Row],[Nat and Combo Bet]],11)))</f>
        <v>100</v>
      </c>
      <c r="S258" s="50" t="str">
        <f t="shared" si="10"/>
        <v/>
      </c>
      <c r="T258" s="50">
        <f t="shared" si="11"/>
        <v>-100</v>
      </c>
      <c r="U258" s="50" t="str">
        <f>IF(Table13232[[#This Row],[Date]]&lt;$U$4,"","Live")</f>
        <v/>
      </c>
      <c r="V258" s="45" t="str">
        <f>TEXT(Table13232[[#This Row],[Date]],"DDD")</f>
        <v>Sat</v>
      </c>
      <c r="W258" s="45" t="str">
        <f>PROPER(TRIM(Table13232[[#This Row],[Horse]]))</f>
        <v>Hughes</v>
      </c>
    </row>
    <row r="259" spans="1:23" x14ac:dyDescent="0.25">
      <c r="A259" s="43">
        <v>45787</v>
      </c>
      <c r="B259" s="44">
        <v>0.52777777777777779</v>
      </c>
      <c r="C259" s="44" t="s">
        <v>34</v>
      </c>
      <c r="D259" s="45">
        <v>2</v>
      </c>
      <c r="E259" s="45">
        <v>6</v>
      </c>
      <c r="F259" s="46" t="s">
        <v>419</v>
      </c>
      <c r="G259" s="46" t="s">
        <v>21</v>
      </c>
      <c r="H259" s="47">
        <v>3.3</v>
      </c>
      <c r="I259" s="52" t="s">
        <v>297</v>
      </c>
      <c r="J259" s="45" t="str">
        <f>VLOOKUP(Table13232[[#This Row],[Track]],$C$836:$E$882,2,FALSE)</f>
        <v>Vic</v>
      </c>
      <c r="K259" s="49">
        <v>100</v>
      </c>
      <c r="L259" s="45">
        <f>IF(Table13232[[#This Row],[Fin]]&lt;&gt;"1st","",Table13232[[#This Row],[Div]]*Table13232[[#This Row],[Lev Bet]])</f>
        <v>330</v>
      </c>
      <c r="M259" s="45">
        <f>IF(Table13232[[#This Row],[Lev Ret]]="",Table13232[[#This Row],[Lev Bet]]*-1,L259-K259)</f>
        <v>230</v>
      </c>
      <c r="N259" s="135">
        <v>100</v>
      </c>
      <c r="O259" s="135">
        <f>IF(Table13232[[#This Row],[Fin]]&lt;&gt;"1st","",Table13232[[#This Row],[Div]]*Table13232[[#This Row],[Nat and Combo Bet]])</f>
        <v>330</v>
      </c>
      <c r="P259" s="135">
        <f>IF(Table13232[[#This Row],[Lev Ret]]="",Table13232[[#This Row],[Nat and Combo Bet]]*-1,O259-N259)</f>
        <v>230</v>
      </c>
      <c r="Q259" s="50">
        <f t="shared" si="9"/>
        <v>1</v>
      </c>
      <c r="R259" s="50">
        <f>IF(AND(Q258=2,Q259=1),"",IF(Q259=2,(N259+N260)/2,IF(Table13232[[#This Row],[Dual Listing]]=1,Table13232[[#This Row],[Nat and Combo Bet]],11)))</f>
        <v>100</v>
      </c>
      <c r="S259" s="50">
        <f t="shared" si="10"/>
        <v>330</v>
      </c>
      <c r="T259" s="50">
        <f t="shared" si="11"/>
        <v>230</v>
      </c>
      <c r="U259" s="50" t="str">
        <f>IF(Table13232[[#This Row],[Date]]&lt;$U$4,"","Live")</f>
        <v/>
      </c>
      <c r="V259" s="45" t="str">
        <f>TEXT(Table13232[[#This Row],[Date]],"DDD")</f>
        <v>Sat</v>
      </c>
      <c r="W259" s="45" t="str">
        <f>PROPER(TRIM(Table13232[[#This Row],[Horse]]))</f>
        <v>Fernao</v>
      </c>
    </row>
    <row r="260" spans="1:23" x14ac:dyDescent="0.25">
      <c r="A260" s="43">
        <v>45787</v>
      </c>
      <c r="B260" s="44">
        <v>0.52777777777777779</v>
      </c>
      <c r="C260" s="44" t="s">
        <v>34</v>
      </c>
      <c r="D260" s="45">
        <v>2</v>
      </c>
      <c r="E260" s="45">
        <v>1</v>
      </c>
      <c r="F260" s="46" t="s">
        <v>162</v>
      </c>
      <c r="G260" s="46" t="s">
        <v>22</v>
      </c>
      <c r="H260" s="47"/>
      <c r="I260" s="52" t="s">
        <v>297</v>
      </c>
      <c r="J260" s="45" t="str">
        <f>VLOOKUP(Table13232[[#This Row],[Track]],$C$836:$E$882,2,FALSE)</f>
        <v>Vic</v>
      </c>
      <c r="K260" s="49">
        <v>100</v>
      </c>
      <c r="L260" s="45" t="str">
        <f>IF(Table13232[[#This Row],[Fin]]&lt;&gt;"1st","",Table13232[[#This Row],[Div]]*Table13232[[#This Row],[Lev Bet]])</f>
        <v/>
      </c>
      <c r="M260" s="45">
        <f>IF(Table13232[[#This Row],[Lev Ret]]="",Table13232[[#This Row],[Lev Bet]]*-1,L260-K260)</f>
        <v>-100</v>
      </c>
      <c r="N260" s="135">
        <v>150</v>
      </c>
      <c r="O260" s="135" t="str">
        <f>IF(Table13232[[#This Row],[Fin]]&lt;&gt;"1st","",Table13232[[#This Row],[Div]]*Table13232[[#This Row],[Nat and Combo Bet]])</f>
        <v/>
      </c>
      <c r="P260" s="135">
        <f>IF(Table13232[[#This Row],[Lev Ret]]="",Table13232[[#This Row],[Nat and Combo Bet]]*-1,O260-N260)</f>
        <v>-150</v>
      </c>
      <c r="Q260" s="50">
        <f t="shared" si="9"/>
        <v>1</v>
      </c>
      <c r="R260" s="50">
        <f>IF(AND(Q259=2,Q260=1),"",IF(Q260=2,(N260+N261)/2,IF(Table13232[[#This Row],[Dual Listing]]=1,Table13232[[#This Row],[Nat and Combo Bet]],11)))</f>
        <v>150</v>
      </c>
      <c r="S260" s="50" t="str">
        <f t="shared" si="10"/>
        <v/>
      </c>
      <c r="T260" s="50">
        <f t="shared" si="11"/>
        <v>-150</v>
      </c>
      <c r="U260" s="50" t="str">
        <f>IF(Table13232[[#This Row],[Date]]&lt;$U$4,"","Live")</f>
        <v/>
      </c>
      <c r="V260" s="45" t="str">
        <f>TEXT(Table13232[[#This Row],[Date]],"DDD")</f>
        <v>Sat</v>
      </c>
      <c r="W260" s="45" t="str">
        <f>PROPER(TRIM(Table13232[[#This Row],[Horse]]))</f>
        <v>Ziryab</v>
      </c>
    </row>
    <row r="261" spans="1:23" x14ac:dyDescent="0.25">
      <c r="A261" s="43">
        <v>45787</v>
      </c>
      <c r="B261" s="44">
        <v>0.54166666666666663</v>
      </c>
      <c r="C261" s="44" t="s">
        <v>28</v>
      </c>
      <c r="D261" s="45">
        <v>4</v>
      </c>
      <c r="E261" s="45">
        <v>2</v>
      </c>
      <c r="F261" s="46" t="s">
        <v>420</v>
      </c>
      <c r="G261" s="46" t="s">
        <v>21</v>
      </c>
      <c r="H261" s="47">
        <v>11</v>
      </c>
      <c r="I261" s="52" t="s">
        <v>297</v>
      </c>
      <c r="J261" s="45" t="str">
        <f>VLOOKUP(Table13232[[#This Row],[Track]],$C$836:$E$882,2,FALSE)</f>
        <v>NSW</v>
      </c>
      <c r="K261" s="49">
        <v>100</v>
      </c>
      <c r="L261" s="45">
        <f>IF(Table13232[[#This Row],[Fin]]&lt;&gt;"1st","",Table13232[[#This Row],[Div]]*Table13232[[#This Row],[Lev Bet]])</f>
        <v>1100</v>
      </c>
      <c r="M261" s="45">
        <f>IF(Table13232[[#This Row],[Lev Ret]]="",Table13232[[#This Row],[Lev Bet]]*-1,L261-K261)</f>
        <v>1000</v>
      </c>
      <c r="N261" s="135">
        <v>100</v>
      </c>
      <c r="O261" s="135">
        <f>IF(Table13232[[#This Row],[Fin]]&lt;&gt;"1st","",Table13232[[#This Row],[Div]]*Table13232[[#This Row],[Nat and Combo Bet]])</f>
        <v>1100</v>
      </c>
      <c r="P261" s="135">
        <f>IF(Table13232[[#This Row],[Lev Ret]]="",Table13232[[#This Row],[Nat and Combo Bet]]*-1,O261-N261)</f>
        <v>1000</v>
      </c>
      <c r="Q261" s="50">
        <f t="shared" si="9"/>
        <v>1</v>
      </c>
      <c r="R261" s="50">
        <f>IF(AND(Q260=2,Q261=1),"",IF(Q261=2,(N261+N262)/2,IF(Table13232[[#This Row],[Dual Listing]]=1,Table13232[[#This Row],[Nat and Combo Bet]],11)))</f>
        <v>100</v>
      </c>
      <c r="S261" s="50">
        <f t="shared" si="10"/>
        <v>1100</v>
      </c>
      <c r="T261" s="50">
        <f t="shared" si="11"/>
        <v>1000</v>
      </c>
      <c r="U261" s="50" t="str">
        <f>IF(Table13232[[#This Row],[Date]]&lt;$U$4,"","Live")</f>
        <v/>
      </c>
      <c r="V261" s="45" t="str">
        <f>TEXT(Table13232[[#This Row],[Date]],"DDD")</f>
        <v>Sat</v>
      </c>
      <c r="W261" s="45" t="str">
        <f>PROPER(TRIM(Table13232[[#This Row],[Horse]]))</f>
        <v>Enter The Dragon</v>
      </c>
    </row>
    <row r="262" spans="1:23" x14ac:dyDescent="0.25">
      <c r="A262" s="43">
        <v>45787</v>
      </c>
      <c r="B262" s="44">
        <v>0.56597222222222221</v>
      </c>
      <c r="C262" s="44" t="s">
        <v>28</v>
      </c>
      <c r="D262" s="45">
        <v>5</v>
      </c>
      <c r="E262" s="45">
        <v>14</v>
      </c>
      <c r="F262" s="46" t="s">
        <v>163</v>
      </c>
      <c r="G262" s="46"/>
      <c r="H262" s="47"/>
      <c r="I262" s="47" t="s">
        <v>298</v>
      </c>
      <c r="J262" s="45" t="str">
        <f>VLOOKUP(Table13232[[#This Row],[Track]],$C$836:$E$882,2,FALSE)</f>
        <v>NSW</v>
      </c>
      <c r="K262" s="49">
        <v>100</v>
      </c>
      <c r="L262" s="45" t="str">
        <f>IF(Table13232[[#This Row],[Fin]]&lt;&gt;"1st","",Table13232[[#This Row],[Div]]*Table13232[[#This Row],[Lev Bet]])</f>
        <v/>
      </c>
      <c r="M262" s="45">
        <f>IF(Table13232[[#This Row],[Lev Ret]]="",Table13232[[#This Row],[Lev Bet]]*-1,L262-K262)</f>
        <v>-100</v>
      </c>
      <c r="N262" s="135">
        <v>150</v>
      </c>
      <c r="O262" s="135" t="str">
        <f>IF(Table13232[[#This Row],[Fin]]&lt;&gt;"1st","",Table13232[[#This Row],[Div]]*Table13232[[#This Row],[Nat and Combo Bet]])</f>
        <v/>
      </c>
      <c r="P262" s="135">
        <f>IF(Table13232[[#This Row],[Lev Ret]]="",Table13232[[#This Row],[Nat and Combo Bet]]*-1,O262-N262)</f>
        <v>-150</v>
      </c>
      <c r="Q262" s="50">
        <f t="shared" si="9"/>
        <v>1</v>
      </c>
      <c r="R262" s="50">
        <f>IF(AND(Q261=2,Q262=1),"",IF(Q262=2,(N262+N263)/2,IF(Table13232[[#This Row],[Dual Listing]]=1,Table13232[[#This Row],[Nat and Combo Bet]],11)))</f>
        <v>150</v>
      </c>
      <c r="S262" s="50" t="str">
        <f t="shared" si="10"/>
        <v/>
      </c>
      <c r="T262" s="50">
        <f t="shared" si="11"/>
        <v>-150</v>
      </c>
      <c r="U262" s="50" t="str">
        <f>IF(Table13232[[#This Row],[Date]]&lt;$U$4,"","Live")</f>
        <v/>
      </c>
      <c r="V262" s="45" t="str">
        <f>TEXT(Table13232[[#This Row],[Date]],"DDD")</f>
        <v>Sat</v>
      </c>
      <c r="W262" s="45" t="str">
        <f>PROPER(TRIM(Table13232[[#This Row],[Horse]]))</f>
        <v>Mr Buster</v>
      </c>
    </row>
    <row r="263" spans="1:23" x14ac:dyDescent="0.25">
      <c r="A263" s="109">
        <v>45787</v>
      </c>
      <c r="B263" s="53">
        <v>0.57638888888888884</v>
      </c>
      <c r="C263" s="110" t="s">
        <v>34</v>
      </c>
      <c r="D263" s="111">
        <v>4</v>
      </c>
      <c r="E263" s="111">
        <v>6</v>
      </c>
      <c r="F263" s="112" t="s">
        <v>421</v>
      </c>
      <c r="G263" s="112" t="s">
        <v>21</v>
      </c>
      <c r="H263" s="113">
        <v>2.1</v>
      </c>
      <c r="I263" s="114" t="s">
        <v>297</v>
      </c>
      <c r="J263" s="45" t="str">
        <f>VLOOKUP(Table13232[[#This Row],[Track]],$C$836:$E$882,2,FALSE)</f>
        <v>Vic</v>
      </c>
      <c r="K263" s="55">
        <v>100</v>
      </c>
      <c r="L263" s="54">
        <f>IF(Table13232[[#This Row],[Fin]]&lt;&gt;"1st","",Table13232[[#This Row],[Div]]*Table13232[[#This Row],[Lev Bet]])</f>
        <v>210</v>
      </c>
      <c r="M263" s="54">
        <f>IF(Table13232[[#This Row],[Lev Ret]]="",Table13232[[#This Row],[Lev Bet]]*-1,L263-K263)</f>
        <v>110</v>
      </c>
      <c r="N263" s="135">
        <v>120</v>
      </c>
      <c r="O263" s="135">
        <f>IF(Table13232[[#This Row],[Fin]]&lt;&gt;"1st","",Table13232[[#This Row],[Div]]*Table13232[[#This Row],[Nat and Combo Bet]])</f>
        <v>252</v>
      </c>
      <c r="P263" s="135">
        <f>IF(Table13232[[#This Row],[Lev Ret]]="",Table13232[[#This Row],[Nat and Combo Bet]]*-1,O263-N263)</f>
        <v>132</v>
      </c>
      <c r="Q263" s="50">
        <f t="shared" ref="Q263:Q326" si="12">IF(AND(A264=A263,F264=F263),2,1)</f>
        <v>2</v>
      </c>
      <c r="R263" s="50">
        <f>IF(AND(Q262=2,Q263=1),"",IF(Q263=2,(N263+N264)/2,IF(Table13232[[#This Row],[Dual Listing]]=1,Table13232[[#This Row],[Nat and Combo Bet]],11)))</f>
        <v>110</v>
      </c>
      <c r="S263" s="50">
        <f t="shared" ref="S263:S326" si="13">IF(R263="","",IF(O263="","",R263*H263))</f>
        <v>231</v>
      </c>
      <c r="T263" s="50">
        <f t="shared" ref="T263:T326" si="14">IF(R263="","",IF(S263="",R263*-1,S263-R263))</f>
        <v>121</v>
      </c>
      <c r="U263" s="50" t="str">
        <f>IF(Table13232[[#This Row],[Date]]&lt;$U$4,"","Live")</f>
        <v/>
      </c>
      <c r="V263" s="45" t="str">
        <f>TEXT(Table13232[[#This Row],[Date]],"DDD")</f>
        <v>Sat</v>
      </c>
      <c r="W263" s="45" t="str">
        <f>PROPER(TRIM(Table13232[[#This Row],[Horse]]))</f>
        <v>Madiyya</v>
      </c>
    </row>
    <row r="264" spans="1:23" x14ac:dyDescent="0.25">
      <c r="A264" s="109">
        <v>45787</v>
      </c>
      <c r="B264" s="53">
        <v>0.57638888888888884</v>
      </c>
      <c r="C264" s="110" t="s">
        <v>34</v>
      </c>
      <c r="D264" s="111">
        <v>4</v>
      </c>
      <c r="E264" s="111">
        <v>6</v>
      </c>
      <c r="F264" s="112" t="s">
        <v>421</v>
      </c>
      <c r="G264" s="112" t="s">
        <v>21</v>
      </c>
      <c r="H264" s="113">
        <v>2.1</v>
      </c>
      <c r="I264" s="113" t="s">
        <v>298</v>
      </c>
      <c r="J264" s="45" t="str">
        <f>VLOOKUP(Table13232[[#This Row],[Track]],$C$836:$E$882,2,FALSE)</f>
        <v>Vic</v>
      </c>
      <c r="K264" s="55">
        <v>100</v>
      </c>
      <c r="L264" s="54">
        <f>IF(Table13232[[#This Row],[Fin]]&lt;&gt;"1st","",Table13232[[#This Row],[Div]]*Table13232[[#This Row],[Lev Bet]])</f>
        <v>210</v>
      </c>
      <c r="M264" s="54">
        <f>IF(Table13232[[#This Row],[Lev Ret]]="",Table13232[[#This Row],[Lev Bet]]*-1,L264-K264)</f>
        <v>110</v>
      </c>
      <c r="N264" s="135">
        <v>100</v>
      </c>
      <c r="O264" s="135">
        <f>IF(Table13232[[#This Row],[Fin]]&lt;&gt;"1st","",Table13232[[#This Row],[Div]]*Table13232[[#This Row],[Nat and Combo Bet]])</f>
        <v>210</v>
      </c>
      <c r="P264" s="135">
        <f>IF(Table13232[[#This Row],[Lev Ret]]="",Table13232[[#This Row],[Nat and Combo Bet]]*-1,O264-N264)</f>
        <v>110</v>
      </c>
      <c r="Q264" s="50">
        <f t="shared" si="12"/>
        <v>1</v>
      </c>
      <c r="R264" s="50" t="str">
        <f>IF(AND(Q263=2,Q264=1),"",IF(Q264=2,(N264+N265)/2,IF(Table13232[[#This Row],[Dual Listing]]=1,Table13232[[#This Row],[Nat and Combo Bet]],11)))</f>
        <v/>
      </c>
      <c r="S264" s="50" t="str">
        <f t="shared" si="13"/>
        <v/>
      </c>
      <c r="T264" s="50" t="str">
        <f t="shared" si="14"/>
        <v/>
      </c>
      <c r="U264" s="50" t="str">
        <f>IF(Table13232[[#This Row],[Date]]&lt;$U$4,"","Live")</f>
        <v/>
      </c>
      <c r="V264" s="45" t="str">
        <f>TEXT(Table13232[[#This Row],[Date]],"DDD")</f>
        <v>Sat</v>
      </c>
      <c r="W264" s="45" t="str">
        <f>PROPER(TRIM(Table13232[[#This Row],[Horse]]))</f>
        <v>Madiyya</v>
      </c>
    </row>
    <row r="265" spans="1:23" x14ac:dyDescent="0.25">
      <c r="A265" s="43">
        <v>45787</v>
      </c>
      <c r="B265" s="44">
        <v>0.63888888888888884</v>
      </c>
      <c r="C265" s="44" t="s">
        <v>28</v>
      </c>
      <c r="D265" s="45">
        <v>8</v>
      </c>
      <c r="E265" s="45">
        <v>10</v>
      </c>
      <c r="F265" s="46" t="s">
        <v>422</v>
      </c>
      <c r="G265" s="46" t="s">
        <v>21</v>
      </c>
      <c r="H265" s="47">
        <v>3</v>
      </c>
      <c r="I265" s="52" t="s">
        <v>297</v>
      </c>
      <c r="J265" s="45" t="str">
        <f>VLOOKUP(Table13232[[#This Row],[Track]],$C$836:$E$882,2,FALSE)</f>
        <v>NSW</v>
      </c>
      <c r="K265" s="49">
        <v>100</v>
      </c>
      <c r="L265" s="45">
        <f>IF(Table13232[[#This Row],[Fin]]&lt;&gt;"1st","",Table13232[[#This Row],[Div]]*Table13232[[#This Row],[Lev Bet]])</f>
        <v>300</v>
      </c>
      <c r="M265" s="45">
        <f>IF(Table13232[[#This Row],[Lev Ret]]="",Table13232[[#This Row],[Lev Bet]]*-1,L265-K265)</f>
        <v>200</v>
      </c>
      <c r="N265" s="135">
        <v>150</v>
      </c>
      <c r="O265" s="135">
        <f>IF(Table13232[[#This Row],[Fin]]&lt;&gt;"1st","",Table13232[[#This Row],[Div]]*Table13232[[#This Row],[Nat and Combo Bet]])</f>
        <v>450</v>
      </c>
      <c r="P265" s="135">
        <f>IF(Table13232[[#This Row],[Lev Ret]]="",Table13232[[#This Row],[Nat and Combo Bet]]*-1,O265-N265)</f>
        <v>300</v>
      </c>
      <c r="Q265" s="50">
        <f t="shared" si="12"/>
        <v>1</v>
      </c>
      <c r="R265" s="50">
        <f>IF(AND(Q264=2,Q265=1),"",IF(Q265=2,(N265+N266)/2,IF(Table13232[[#This Row],[Dual Listing]]=1,Table13232[[#This Row],[Nat and Combo Bet]],11)))</f>
        <v>150</v>
      </c>
      <c r="S265" s="50">
        <f t="shared" si="13"/>
        <v>450</v>
      </c>
      <c r="T265" s="50">
        <f t="shared" si="14"/>
        <v>300</v>
      </c>
      <c r="U265" s="50" t="str">
        <f>IF(Table13232[[#This Row],[Date]]&lt;$U$4,"","Live")</f>
        <v/>
      </c>
      <c r="V265" s="45" t="str">
        <f>TEXT(Table13232[[#This Row],[Date]],"DDD")</f>
        <v>Sat</v>
      </c>
      <c r="W265" s="45" t="str">
        <f>PROPER(TRIM(Table13232[[#This Row],[Horse]]))</f>
        <v>Know Thyself</v>
      </c>
    </row>
    <row r="266" spans="1:23" x14ac:dyDescent="0.25">
      <c r="A266" s="43">
        <v>45787</v>
      </c>
      <c r="B266" s="44">
        <v>0.66666666666666663</v>
      </c>
      <c r="C266" s="44" t="s">
        <v>28</v>
      </c>
      <c r="D266" s="45">
        <v>9</v>
      </c>
      <c r="E266" s="45">
        <v>15</v>
      </c>
      <c r="F266" s="46" t="s">
        <v>80</v>
      </c>
      <c r="G266" s="46"/>
      <c r="H266" s="47"/>
      <c r="I266" s="52" t="s">
        <v>297</v>
      </c>
      <c r="J266" s="45" t="str">
        <f>VLOOKUP(Table13232[[#This Row],[Track]],$C$836:$E$882,2,FALSE)</f>
        <v>NSW</v>
      </c>
      <c r="K266" s="49">
        <v>100</v>
      </c>
      <c r="L266" s="45" t="str">
        <f>IF(Table13232[[#This Row],[Fin]]&lt;&gt;"1st","",Table13232[[#This Row],[Div]]*Table13232[[#This Row],[Lev Bet]])</f>
        <v/>
      </c>
      <c r="M266" s="45">
        <f>IF(Table13232[[#This Row],[Lev Ret]]="",Table13232[[#This Row],[Lev Bet]]*-1,L266-K266)</f>
        <v>-100</v>
      </c>
      <c r="N266" s="135">
        <v>100</v>
      </c>
      <c r="O266" s="135" t="str">
        <f>IF(Table13232[[#This Row],[Fin]]&lt;&gt;"1st","",Table13232[[#This Row],[Div]]*Table13232[[#This Row],[Nat and Combo Bet]])</f>
        <v/>
      </c>
      <c r="P266" s="135">
        <f>IF(Table13232[[#This Row],[Lev Ret]]="",Table13232[[#This Row],[Nat and Combo Bet]]*-1,O266-N266)</f>
        <v>-100</v>
      </c>
      <c r="Q266" s="50">
        <f t="shared" si="12"/>
        <v>1</v>
      </c>
      <c r="R266" s="50">
        <f>IF(AND(Q265=2,Q266=1),"",IF(Q266=2,(N266+N267)/2,IF(Table13232[[#This Row],[Dual Listing]]=1,Table13232[[#This Row],[Nat and Combo Bet]],11)))</f>
        <v>100</v>
      </c>
      <c r="S266" s="50" t="str">
        <f t="shared" si="13"/>
        <v/>
      </c>
      <c r="T266" s="50">
        <f t="shared" si="14"/>
        <v>-100</v>
      </c>
      <c r="U266" s="50" t="str">
        <f>IF(Table13232[[#This Row],[Date]]&lt;$U$4,"","Live")</f>
        <v/>
      </c>
      <c r="V266" s="45" t="str">
        <f>TEXT(Table13232[[#This Row],[Date]],"DDD")</f>
        <v>Sat</v>
      </c>
      <c r="W266" s="45" t="str">
        <f>PROPER(TRIM(Table13232[[#This Row],[Horse]]))</f>
        <v>Accredited</v>
      </c>
    </row>
    <row r="267" spans="1:23" x14ac:dyDescent="0.25">
      <c r="A267" s="43">
        <v>45787</v>
      </c>
      <c r="B267" s="44">
        <v>0.67708333333333337</v>
      </c>
      <c r="C267" s="44" t="s">
        <v>34</v>
      </c>
      <c r="D267" s="45">
        <v>8</v>
      </c>
      <c r="E267" s="45">
        <v>8</v>
      </c>
      <c r="F267" s="46" t="s">
        <v>154</v>
      </c>
      <c r="G267" s="46" t="s">
        <v>21</v>
      </c>
      <c r="H267" s="47">
        <v>2.2999999999999998</v>
      </c>
      <c r="I267" s="52" t="s">
        <v>297</v>
      </c>
      <c r="J267" s="45" t="str">
        <f>VLOOKUP(Table13232[[#This Row],[Track]],$C$836:$E$882,2,FALSE)</f>
        <v>Vic</v>
      </c>
      <c r="K267" s="49">
        <v>100</v>
      </c>
      <c r="L267" s="45">
        <f>IF(Table13232[[#This Row],[Fin]]&lt;&gt;"1st","",Table13232[[#This Row],[Div]]*Table13232[[#This Row],[Lev Bet]])</f>
        <v>229.99999999999997</v>
      </c>
      <c r="M267" s="45">
        <f>IF(Table13232[[#This Row],[Lev Ret]]="",Table13232[[#This Row],[Lev Bet]]*-1,L267-K267)</f>
        <v>129.99999999999997</v>
      </c>
      <c r="N267" s="135">
        <v>100</v>
      </c>
      <c r="O267" s="135">
        <f>IF(Table13232[[#This Row],[Fin]]&lt;&gt;"1st","",Table13232[[#This Row],[Div]]*Table13232[[#This Row],[Nat and Combo Bet]])</f>
        <v>229.99999999999997</v>
      </c>
      <c r="P267" s="135">
        <f>IF(Table13232[[#This Row],[Lev Ret]]="",Table13232[[#This Row],[Nat and Combo Bet]]*-1,O267-N267)</f>
        <v>129.99999999999997</v>
      </c>
      <c r="Q267" s="50">
        <f t="shared" si="12"/>
        <v>1</v>
      </c>
      <c r="R267" s="50">
        <f>IF(AND(Q266=2,Q267=1),"",IF(Q267=2,(N267+N268)/2,IF(Table13232[[#This Row],[Dual Listing]]=1,Table13232[[#This Row],[Nat and Combo Bet]],11)))</f>
        <v>100</v>
      </c>
      <c r="S267" s="50">
        <f t="shared" si="13"/>
        <v>229.99999999999997</v>
      </c>
      <c r="T267" s="50">
        <f t="shared" si="14"/>
        <v>129.99999999999997</v>
      </c>
      <c r="U267" s="50" t="str">
        <f>IF(Table13232[[#This Row],[Date]]&lt;$U$4,"","Live")</f>
        <v/>
      </c>
      <c r="V267" s="45" t="str">
        <f>TEXT(Table13232[[#This Row],[Date]],"DDD")</f>
        <v>Sat</v>
      </c>
      <c r="W267" s="45" t="str">
        <f>PROPER(TRIM(Table13232[[#This Row],[Horse]]))</f>
        <v>War Machine</v>
      </c>
    </row>
    <row r="268" spans="1:23" x14ac:dyDescent="0.25">
      <c r="A268" s="43">
        <v>45787</v>
      </c>
      <c r="B268" s="44">
        <v>0.69444444444444442</v>
      </c>
      <c r="C268" s="44" t="s">
        <v>28</v>
      </c>
      <c r="D268" s="45">
        <v>10</v>
      </c>
      <c r="E268" s="45">
        <v>10</v>
      </c>
      <c r="F268" s="46" t="s">
        <v>423</v>
      </c>
      <c r="G268" s="46" t="s">
        <v>21</v>
      </c>
      <c r="H268" s="47">
        <v>2.8</v>
      </c>
      <c r="I268" s="52" t="s">
        <v>297</v>
      </c>
      <c r="J268" s="45" t="str">
        <f>VLOOKUP(Table13232[[#This Row],[Track]],$C$836:$E$882,2,FALSE)</f>
        <v>NSW</v>
      </c>
      <c r="K268" s="49">
        <v>100</v>
      </c>
      <c r="L268" s="45">
        <f>IF(Table13232[[#This Row],[Fin]]&lt;&gt;"1st","",Table13232[[#This Row],[Div]]*Table13232[[#This Row],[Lev Bet]])</f>
        <v>280</v>
      </c>
      <c r="M268" s="45">
        <f>IF(Table13232[[#This Row],[Lev Ret]]="",Table13232[[#This Row],[Lev Bet]]*-1,L268-K268)</f>
        <v>180</v>
      </c>
      <c r="N268" s="135">
        <v>150</v>
      </c>
      <c r="O268" s="135">
        <f>IF(Table13232[[#This Row],[Fin]]&lt;&gt;"1st","",Table13232[[#This Row],[Div]]*Table13232[[#This Row],[Nat and Combo Bet]])</f>
        <v>420</v>
      </c>
      <c r="P268" s="135">
        <f>IF(Table13232[[#This Row],[Lev Ret]]="",Table13232[[#This Row],[Nat and Combo Bet]]*-1,O268-N268)</f>
        <v>270</v>
      </c>
      <c r="Q268" s="50">
        <f t="shared" si="12"/>
        <v>1</v>
      </c>
      <c r="R268" s="50">
        <f>IF(AND(Q267=2,Q268=1),"",IF(Q268=2,(N268+N269)/2,IF(Table13232[[#This Row],[Dual Listing]]=1,Table13232[[#This Row],[Nat and Combo Bet]],11)))</f>
        <v>150</v>
      </c>
      <c r="S268" s="50">
        <f t="shared" si="13"/>
        <v>420</v>
      </c>
      <c r="T268" s="50">
        <f t="shared" si="14"/>
        <v>270</v>
      </c>
      <c r="U268" s="50" t="str">
        <f>IF(Table13232[[#This Row],[Date]]&lt;$U$4,"","Live")</f>
        <v/>
      </c>
      <c r="V268" s="45" t="str">
        <f>TEXT(Table13232[[#This Row],[Date]],"DDD")</f>
        <v>Sat</v>
      </c>
      <c r="W268" s="45" t="str">
        <f>PROPER(TRIM(Table13232[[#This Row],[Horse]]))</f>
        <v>Raikkonen</v>
      </c>
    </row>
    <row r="269" spans="1:23" x14ac:dyDescent="0.25">
      <c r="A269" s="43">
        <v>45794</v>
      </c>
      <c r="B269" s="44">
        <v>0.46180555555555558</v>
      </c>
      <c r="C269" s="44" t="s">
        <v>46</v>
      </c>
      <c r="D269" s="45">
        <v>1</v>
      </c>
      <c r="E269" s="45">
        <v>5</v>
      </c>
      <c r="F269" s="46" t="s">
        <v>424</v>
      </c>
      <c r="G269" s="46"/>
      <c r="H269" s="47"/>
      <c r="I269" s="52" t="s">
        <v>297</v>
      </c>
      <c r="J269" s="45" t="str">
        <f>VLOOKUP(Table13232[[#This Row],[Track]],$C$836:$E$882,2,FALSE)</f>
        <v>NSW</v>
      </c>
      <c r="K269" s="49">
        <v>100</v>
      </c>
      <c r="L269" s="45" t="str">
        <f>IF(Table13232[[#This Row],[Fin]]&lt;&gt;"1st","",Table13232[[#This Row],[Div]]*Table13232[[#This Row],[Lev Bet]])</f>
        <v/>
      </c>
      <c r="M269" s="45">
        <f>IF(Table13232[[#This Row],[Lev Ret]]="",Table13232[[#This Row],[Lev Bet]]*-1,L269-K269)</f>
        <v>-100</v>
      </c>
      <c r="N269" s="135">
        <v>150</v>
      </c>
      <c r="O269" s="135" t="str">
        <f>IF(Table13232[[#This Row],[Fin]]&lt;&gt;"1st","",Table13232[[#This Row],[Div]]*Table13232[[#This Row],[Nat and Combo Bet]])</f>
        <v/>
      </c>
      <c r="P269" s="135">
        <f>IF(Table13232[[#This Row],[Lev Ret]]="",Table13232[[#This Row],[Nat and Combo Bet]]*-1,O269-N269)</f>
        <v>-150</v>
      </c>
      <c r="Q269" s="50">
        <f t="shared" si="12"/>
        <v>1</v>
      </c>
      <c r="R269" s="50">
        <f>IF(AND(Q268=2,Q269=1),"",IF(Q269=2,(N269+N270)/2,IF(Table13232[[#This Row],[Dual Listing]]=1,Table13232[[#This Row],[Nat and Combo Bet]],11)))</f>
        <v>150</v>
      </c>
      <c r="S269" s="50" t="str">
        <f t="shared" si="13"/>
        <v/>
      </c>
      <c r="T269" s="50">
        <f t="shared" si="14"/>
        <v>-150</v>
      </c>
      <c r="U269" s="50" t="str">
        <f>IF(Table13232[[#This Row],[Date]]&lt;$U$4,"","Live")</f>
        <v/>
      </c>
      <c r="V269" s="45" t="str">
        <f>TEXT(Table13232[[#This Row],[Date]],"DDD")</f>
        <v>Sat</v>
      </c>
      <c r="W269" s="45" t="str">
        <f>PROPER(TRIM(Table13232[[#This Row],[Horse]]))</f>
        <v>Jumeirah Beach</v>
      </c>
    </row>
    <row r="270" spans="1:23" x14ac:dyDescent="0.25">
      <c r="A270" s="43">
        <v>45794</v>
      </c>
      <c r="B270" s="44">
        <v>0.49652777777777779</v>
      </c>
      <c r="C270" s="44" t="s">
        <v>10</v>
      </c>
      <c r="D270" s="45">
        <v>1</v>
      </c>
      <c r="E270" s="45">
        <v>5</v>
      </c>
      <c r="F270" s="46" t="s">
        <v>494</v>
      </c>
      <c r="G270" s="46" t="s">
        <v>21</v>
      </c>
      <c r="H270" s="47">
        <v>13</v>
      </c>
      <c r="I270" s="47" t="s">
        <v>298</v>
      </c>
      <c r="J270" s="45" t="str">
        <f>VLOOKUP(Table13232[[#This Row],[Track]],$C$836:$E$882,2,FALSE)</f>
        <v>Vic</v>
      </c>
      <c r="K270" s="49">
        <v>100</v>
      </c>
      <c r="L270" s="45">
        <f>IF(Table13232[[#This Row],[Fin]]&lt;&gt;"1st","",Table13232[[#This Row],[Div]]*Table13232[[#This Row],[Lev Bet]])</f>
        <v>1300</v>
      </c>
      <c r="M270" s="45">
        <f>IF(Table13232[[#This Row],[Lev Ret]]="",Table13232[[#This Row],[Lev Bet]]*-1,L270-K270)</f>
        <v>1200</v>
      </c>
      <c r="N270" s="135">
        <v>100</v>
      </c>
      <c r="O270" s="135">
        <f>IF(Table13232[[#This Row],[Fin]]&lt;&gt;"1st","",Table13232[[#This Row],[Div]]*Table13232[[#This Row],[Nat and Combo Bet]])</f>
        <v>1300</v>
      </c>
      <c r="P270" s="135">
        <f>IF(Table13232[[#This Row],[Lev Ret]]="",Table13232[[#This Row],[Nat and Combo Bet]]*-1,O270-N270)</f>
        <v>1200</v>
      </c>
      <c r="Q270" s="50">
        <f t="shared" si="12"/>
        <v>1</v>
      </c>
      <c r="R270" s="50">
        <f>IF(AND(Q269=2,Q270=1),"",IF(Q270=2,(N270+N271)/2,IF(Table13232[[#This Row],[Dual Listing]]=1,Table13232[[#This Row],[Nat and Combo Bet]],11)))</f>
        <v>100</v>
      </c>
      <c r="S270" s="50">
        <f t="shared" si="13"/>
        <v>1300</v>
      </c>
      <c r="T270" s="50">
        <f t="shared" si="14"/>
        <v>1200</v>
      </c>
      <c r="U270" s="50" t="str">
        <f>IF(Table13232[[#This Row],[Date]]&lt;$U$4,"","Live")</f>
        <v/>
      </c>
      <c r="V270" s="45" t="str">
        <f>TEXT(Table13232[[#This Row],[Date]],"DDD")</f>
        <v>Sat</v>
      </c>
      <c r="W270" s="45" t="str">
        <f>PROPER(TRIM(Table13232[[#This Row],[Horse]]))</f>
        <v>Madame Maserati</v>
      </c>
    </row>
    <row r="271" spans="1:23" x14ac:dyDescent="0.25">
      <c r="A271" s="43">
        <v>45794</v>
      </c>
      <c r="B271" s="44">
        <v>0.53472222222222221</v>
      </c>
      <c r="C271" s="44" t="s">
        <v>46</v>
      </c>
      <c r="D271" s="45">
        <v>4</v>
      </c>
      <c r="E271" s="45">
        <v>5</v>
      </c>
      <c r="F271" s="46" t="s">
        <v>90</v>
      </c>
      <c r="G271" s="46" t="s">
        <v>21</v>
      </c>
      <c r="H271" s="47">
        <v>2.9</v>
      </c>
      <c r="I271" s="52" t="s">
        <v>297</v>
      </c>
      <c r="J271" s="45" t="str">
        <f>VLOOKUP(Table13232[[#This Row],[Track]],$C$836:$E$882,2,FALSE)</f>
        <v>NSW</v>
      </c>
      <c r="K271" s="49">
        <v>100</v>
      </c>
      <c r="L271" s="45">
        <f>IF(Table13232[[#This Row],[Fin]]&lt;&gt;"1st","",Table13232[[#This Row],[Div]]*Table13232[[#This Row],[Lev Bet]])</f>
        <v>290</v>
      </c>
      <c r="M271" s="45">
        <f>IF(Table13232[[#This Row],[Lev Ret]]="",Table13232[[#This Row],[Lev Bet]]*-1,L271-K271)</f>
        <v>190</v>
      </c>
      <c r="N271" s="135">
        <v>200</v>
      </c>
      <c r="O271" s="135">
        <f>IF(Table13232[[#This Row],[Fin]]&lt;&gt;"1st","",Table13232[[#This Row],[Div]]*Table13232[[#This Row],[Nat and Combo Bet]])</f>
        <v>580</v>
      </c>
      <c r="P271" s="135">
        <f>IF(Table13232[[#This Row],[Lev Ret]]="",Table13232[[#This Row],[Nat and Combo Bet]]*-1,O271-N271)</f>
        <v>380</v>
      </c>
      <c r="Q271" s="50">
        <f t="shared" si="12"/>
        <v>1</v>
      </c>
      <c r="R271" s="50">
        <f>IF(AND(Q270=2,Q271=1),"",IF(Q271=2,(N271+N272)/2,IF(Table13232[[#This Row],[Dual Listing]]=1,Table13232[[#This Row],[Nat and Combo Bet]],11)))</f>
        <v>200</v>
      </c>
      <c r="S271" s="50">
        <f t="shared" si="13"/>
        <v>580</v>
      </c>
      <c r="T271" s="50">
        <f t="shared" si="14"/>
        <v>380</v>
      </c>
      <c r="U271" s="50" t="str">
        <f>IF(Table13232[[#This Row],[Date]]&lt;$U$4,"","Live")</f>
        <v/>
      </c>
      <c r="V271" s="45" t="str">
        <f>TEXT(Table13232[[#This Row],[Date]],"DDD")</f>
        <v>Sat</v>
      </c>
      <c r="W271" s="45" t="str">
        <f>PROPER(TRIM(Table13232[[#This Row],[Horse]]))</f>
        <v>Oh Diamond Lil</v>
      </c>
    </row>
    <row r="272" spans="1:23" x14ac:dyDescent="0.25">
      <c r="A272" s="43">
        <v>45794</v>
      </c>
      <c r="B272" s="44">
        <v>0.56944444444444442</v>
      </c>
      <c r="C272" s="44" t="s">
        <v>10</v>
      </c>
      <c r="D272" s="45">
        <v>4</v>
      </c>
      <c r="E272" s="45">
        <v>2</v>
      </c>
      <c r="F272" s="46" t="s">
        <v>495</v>
      </c>
      <c r="G272" s="46"/>
      <c r="H272" s="47"/>
      <c r="I272" s="47" t="s">
        <v>298</v>
      </c>
      <c r="J272" s="45" t="str">
        <f>VLOOKUP(Table13232[[#This Row],[Track]],$C$836:$E$882,2,FALSE)</f>
        <v>Vic</v>
      </c>
      <c r="K272" s="49">
        <v>100</v>
      </c>
      <c r="L272" s="45" t="str">
        <f>IF(Table13232[[#This Row],[Fin]]&lt;&gt;"1st","",Table13232[[#This Row],[Div]]*Table13232[[#This Row],[Lev Bet]])</f>
        <v/>
      </c>
      <c r="M272" s="45">
        <f>IF(Table13232[[#This Row],[Lev Ret]]="",Table13232[[#This Row],[Lev Bet]]*-1,L272-K272)</f>
        <v>-100</v>
      </c>
      <c r="N272" s="135">
        <v>100</v>
      </c>
      <c r="O272" s="135" t="str">
        <f>IF(Table13232[[#This Row],[Fin]]&lt;&gt;"1st","",Table13232[[#This Row],[Div]]*Table13232[[#This Row],[Nat and Combo Bet]])</f>
        <v/>
      </c>
      <c r="P272" s="135">
        <f>IF(Table13232[[#This Row],[Lev Ret]]="",Table13232[[#This Row],[Nat and Combo Bet]]*-1,O272-N272)</f>
        <v>-100</v>
      </c>
      <c r="Q272" s="50">
        <f t="shared" si="12"/>
        <v>1</v>
      </c>
      <c r="R272" s="50">
        <f>IF(AND(Q271=2,Q272=1),"",IF(Q272=2,(N272+N273)/2,IF(Table13232[[#This Row],[Dual Listing]]=1,Table13232[[#This Row],[Nat and Combo Bet]],11)))</f>
        <v>100</v>
      </c>
      <c r="S272" s="50" t="str">
        <f t="shared" si="13"/>
        <v/>
      </c>
      <c r="T272" s="50">
        <f t="shared" si="14"/>
        <v>-100</v>
      </c>
      <c r="U272" s="50" t="str">
        <f>IF(Table13232[[#This Row],[Date]]&lt;$U$4,"","Live")</f>
        <v/>
      </c>
      <c r="V272" s="45" t="str">
        <f>TEXT(Table13232[[#This Row],[Date]],"DDD")</f>
        <v>Sat</v>
      </c>
      <c r="W272" s="45" t="str">
        <f>PROPER(TRIM(Table13232[[#This Row],[Horse]]))</f>
        <v>Nostringsattached</v>
      </c>
    </row>
    <row r="273" spans="1:23" x14ac:dyDescent="0.25">
      <c r="A273" s="109">
        <v>45794</v>
      </c>
      <c r="B273" s="53">
        <v>0.58333333333333337</v>
      </c>
      <c r="C273" s="110" t="s">
        <v>46</v>
      </c>
      <c r="D273" s="111">
        <v>6</v>
      </c>
      <c r="E273" s="111">
        <v>6</v>
      </c>
      <c r="F273" s="112" t="s">
        <v>164</v>
      </c>
      <c r="G273" s="112" t="s">
        <v>21</v>
      </c>
      <c r="H273" s="113">
        <v>3.9</v>
      </c>
      <c r="I273" s="114" t="s">
        <v>297</v>
      </c>
      <c r="J273" s="45" t="str">
        <f>VLOOKUP(Table13232[[#This Row],[Track]],$C$836:$E$882,2,FALSE)</f>
        <v>NSW</v>
      </c>
      <c r="K273" s="55">
        <v>100</v>
      </c>
      <c r="L273" s="54">
        <f>IF(Table13232[[#This Row],[Fin]]&lt;&gt;"1st","",Table13232[[#This Row],[Div]]*Table13232[[#This Row],[Lev Bet]])</f>
        <v>390</v>
      </c>
      <c r="M273" s="54">
        <f>IF(Table13232[[#This Row],[Lev Ret]]="",Table13232[[#This Row],[Lev Bet]]*-1,L273-K273)</f>
        <v>290</v>
      </c>
      <c r="N273" s="135">
        <v>150</v>
      </c>
      <c r="O273" s="135">
        <f>IF(Table13232[[#This Row],[Fin]]&lt;&gt;"1st","",Table13232[[#This Row],[Div]]*Table13232[[#This Row],[Nat and Combo Bet]])</f>
        <v>585</v>
      </c>
      <c r="P273" s="135">
        <f>IF(Table13232[[#This Row],[Lev Ret]]="",Table13232[[#This Row],[Nat and Combo Bet]]*-1,O273-N273)</f>
        <v>435</v>
      </c>
      <c r="Q273" s="50">
        <f t="shared" si="12"/>
        <v>2</v>
      </c>
      <c r="R273" s="50">
        <f>IF(AND(Q272=2,Q273=1),"",IF(Q273=2,(N273+N274)/2,IF(Table13232[[#This Row],[Dual Listing]]=1,Table13232[[#This Row],[Nat and Combo Bet]],11)))</f>
        <v>150</v>
      </c>
      <c r="S273" s="50">
        <f t="shared" si="13"/>
        <v>585</v>
      </c>
      <c r="T273" s="50">
        <f t="shared" si="14"/>
        <v>435</v>
      </c>
      <c r="U273" s="50" t="str">
        <f>IF(Table13232[[#This Row],[Date]]&lt;$U$4,"","Live")</f>
        <v/>
      </c>
      <c r="V273" s="45" t="str">
        <f>TEXT(Table13232[[#This Row],[Date]],"DDD")</f>
        <v>Sat</v>
      </c>
      <c r="W273" s="45" t="str">
        <f>PROPER(TRIM(Table13232[[#This Row],[Horse]]))</f>
        <v>Zealously</v>
      </c>
    </row>
    <row r="274" spans="1:23" x14ac:dyDescent="0.25">
      <c r="A274" s="109">
        <v>45794</v>
      </c>
      <c r="B274" s="53">
        <v>0.58333333333333337</v>
      </c>
      <c r="C274" s="110" t="s">
        <v>46</v>
      </c>
      <c r="D274" s="111">
        <v>6</v>
      </c>
      <c r="E274" s="111">
        <v>6</v>
      </c>
      <c r="F274" s="112" t="s">
        <v>164</v>
      </c>
      <c r="G274" s="112" t="s">
        <v>21</v>
      </c>
      <c r="H274" s="113">
        <v>3.9</v>
      </c>
      <c r="I274" s="113" t="s">
        <v>298</v>
      </c>
      <c r="J274" s="45" t="str">
        <f>VLOOKUP(Table13232[[#This Row],[Track]],$C$836:$E$882,2,FALSE)</f>
        <v>NSW</v>
      </c>
      <c r="K274" s="55">
        <v>100</v>
      </c>
      <c r="L274" s="54">
        <f>IF(Table13232[[#This Row],[Fin]]&lt;&gt;"1st","",Table13232[[#This Row],[Div]]*Table13232[[#This Row],[Lev Bet]])</f>
        <v>390</v>
      </c>
      <c r="M274" s="54">
        <f>IF(Table13232[[#This Row],[Lev Ret]]="",Table13232[[#This Row],[Lev Bet]]*-1,L274-K274)</f>
        <v>290</v>
      </c>
      <c r="N274" s="135">
        <v>150</v>
      </c>
      <c r="O274" s="135">
        <f>IF(Table13232[[#This Row],[Fin]]&lt;&gt;"1st","",Table13232[[#This Row],[Div]]*Table13232[[#This Row],[Nat and Combo Bet]])</f>
        <v>585</v>
      </c>
      <c r="P274" s="135">
        <f>IF(Table13232[[#This Row],[Lev Ret]]="",Table13232[[#This Row],[Nat and Combo Bet]]*-1,O274-N274)</f>
        <v>435</v>
      </c>
      <c r="Q274" s="50">
        <f t="shared" si="12"/>
        <v>1</v>
      </c>
      <c r="R274" s="50" t="str">
        <f>IF(AND(Q273=2,Q274=1),"",IF(Q274=2,(N274+N275)/2,IF(Table13232[[#This Row],[Dual Listing]]=1,Table13232[[#This Row],[Nat and Combo Bet]],11)))</f>
        <v/>
      </c>
      <c r="S274" s="50" t="str">
        <f t="shared" si="13"/>
        <v/>
      </c>
      <c r="T274" s="50" t="str">
        <f t="shared" si="14"/>
        <v/>
      </c>
      <c r="U274" s="50" t="str">
        <f>IF(Table13232[[#This Row],[Date]]&lt;$U$4,"","Live")</f>
        <v/>
      </c>
      <c r="V274" s="45" t="str">
        <f>TEXT(Table13232[[#This Row],[Date]],"DDD")</f>
        <v>Sat</v>
      </c>
      <c r="W274" s="45" t="str">
        <f>PROPER(TRIM(Table13232[[#This Row],[Horse]]))</f>
        <v>Zealously</v>
      </c>
    </row>
    <row r="275" spans="1:23" x14ac:dyDescent="0.25">
      <c r="A275" s="43">
        <v>45794</v>
      </c>
      <c r="B275" s="44">
        <v>0.61805555555555558</v>
      </c>
      <c r="C275" s="44" t="s">
        <v>10</v>
      </c>
      <c r="D275" s="45">
        <v>6</v>
      </c>
      <c r="E275" s="45">
        <v>11</v>
      </c>
      <c r="F275" s="46" t="s">
        <v>165</v>
      </c>
      <c r="G275" s="46"/>
      <c r="H275" s="47"/>
      <c r="I275" s="47" t="s">
        <v>298</v>
      </c>
      <c r="J275" s="45" t="str">
        <f>VLOOKUP(Table13232[[#This Row],[Track]],$C$836:$E$882,2,FALSE)</f>
        <v>Vic</v>
      </c>
      <c r="K275" s="49">
        <v>100</v>
      </c>
      <c r="L275" s="45" t="str">
        <f>IF(Table13232[[#This Row],[Fin]]&lt;&gt;"1st","",Table13232[[#This Row],[Div]]*Table13232[[#This Row],[Lev Bet]])</f>
        <v/>
      </c>
      <c r="M275" s="45">
        <f>IF(Table13232[[#This Row],[Lev Ret]]="",Table13232[[#This Row],[Lev Bet]]*-1,L275-K275)</f>
        <v>-100</v>
      </c>
      <c r="N275" s="135">
        <v>100</v>
      </c>
      <c r="O275" s="135" t="str">
        <f>IF(Table13232[[#This Row],[Fin]]&lt;&gt;"1st","",Table13232[[#This Row],[Div]]*Table13232[[#This Row],[Nat and Combo Bet]])</f>
        <v/>
      </c>
      <c r="P275" s="135">
        <f>IF(Table13232[[#This Row],[Lev Ret]]="",Table13232[[#This Row],[Nat and Combo Bet]]*-1,O275-N275)</f>
        <v>-100</v>
      </c>
      <c r="Q275" s="50">
        <f t="shared" si="12"/>
        <v>1</v>
      </c>
      <c r="R275" s="50">
        <f>IF(AND(Q274=2,Q275=1),"",IF(Q275=2,(N275+N276)/2,IF(Table13232[[#This Row],[Dual Listing]]=1,Table13232[[#This Row],[Nat and Combo Bet]],11)))</f>
        <v>100</v>
      </c>
      <c r="S275" s="50" t="str">
        <f t="shared" si="13"/>
        <v/>
      </c>
      <c r="T275" s="50">
        <f t="shared" si="14"/>
        <v>-100</v>
      </c>
      <c r="U275" s="50" t="str">
        <f>IF(Table13232[[#This Row],[Date]]&lt;$U$4,"","Live")</f>
        <v/>
      </c>
      <c r="V275" s="45" t="str">
        <f>TEXT(Table13232[[#This Row],[Date]],"DDD")</f>
        <v>Sat</v>
      </c>
      <c r="W275" s="45" t="str">
        <f>PROPER(TRIM(Table13232[[#This Row],[Horse]]))</f>
        <v>King Zephyr</v>
      </c>
    </row>
    <row r="276" spans="1:23" x14ac:dyDescent="0.25">
      <c r="A276" s="43">
        <v>45794</v>
      </c>
      <c r="B276" s="44">
        <v>0.63194444444444442</v>
      </c>
      <c r="C276" s="44" t="s">
        <v>46</v>
      </c>
      <c r="D276" s="45">
        <v>8</v>
      </c>
      <c r="E276" s="45">
        <v>10</v>
      </c>
      <c r="F276" s="46" t="s">
        <v>425</v>
      </c>
      <c r="G276" s="46" t="s">
        <v>23</v>
      </c>
      <c r="H276" s="47"/>
      <c r="I276" s="52" t="s">
        <v>297</v>
      </c>
      <c r="J276" s="45" t="str">
        <f>VLOOKUP(Table13232[[#This Row],[Track]],$C$836:$E$882,2,FALSE)</f>
        <v>NSW</v>
      </c>
      <c r="K276" s="49">
        <v>100</v>
      </c>
      <c r="L276" s="45" t="str">
        <f>IF(Table13232[[#This Row],[Fin]]&lt;&gt;"1st","",Table13232[[#This Row],[Div]]*Table13232[[#This Row],[Lev Bet]])</f>
        <v/>
      </c>
      <c r="M276" s="45">
        <f>IF(Table13232[[#This Row],[Lev Ret]]="",Table13232[[#This Row],[Lev Bet]]*-1,L276-K276)</f>
        <v>-100</v>
      </c>
      <c r="N276" s="135">
        <v>100</v>
      </c>
      <c r="O276" s="135" t="str">
        <f>IF(Table13232[[#This Row],[Fin]]&lt;&gt;"1st","",Table13232[[#This Row],[Div]]*Table13232[[#This Row],[Nat and Combo Bet]])</f>
        <v/>
      </c>
      <c r="P276" s="135">
        <f>IF(Table13232[[#This Row],[Lev Ret]]="",Table13232[[#This Row],[Nat and Combo Bet]]*-1,O276-N276)</f>
        <v>-100</v>
      </c>
      <c r="Q276" s="50">
        <f t="shared" si="12"/>
        <v>1</v>
      </c>
      <c r="R276" s="50">
        <f>IF(AND(Q275=2,Q276=1),"",IF(Q276=2,(N276+N277)/2,IF(Table13232[[#This Row],[Dual Listing]]=1,Table13232[[#This Row],[Nat and Combo Bet]],11)))</f>
        <v>100</v>
      </c>
      <c r="S276" s="50" t="str">
        <f t="shared" si="13"/>
        <v/>
      </c>
      <c r="T276" s="50">
        <f t="shared" si="14"/>
        <v>-100</v>
      </c>
      <c r="U276" s="50" t="str">
        <f>IF(Table13232[[#This Row],[Date]]&lt;$U$4,"","Live")</f>
        <v/>
      </c>
      <c r="V276" s="45" t="str">
        <f>TEXT(Table13232[[#This Row],[Date]],"DDD")</f>
        <v>Sat</v>
      </c>
      <c r="W276" s="45" t="str">
        <f>PROPER(TRIM(Table13232[[#This Row],[Horse]]))</f>
        <v>The Novelist</v>
      </c>
    </row>
    <row r="277" spans="1:23" x14ac:dyDescent="0.25">
      <c r="A277" s="43">
        <v>45794</v>
      </c>
      <c r="B277" s="44">
        <v>0.67361111111111116</v>
      </c>
      <c r="C277" s="44" t="s">
        <v>10</v>
      </c>
      <c r="D277" s="45">
        <v>8</v>
      </c>
      <c r="E277" s="45">
        <v>11</v>
      </c>
      <c r="F277" s="46" t="s">
        <v>166</v>
      </c>
      <c r="G277" s="46"/>
      <c r="H277" s="47"/>
      <c r="I277" s="47" t="s">
        <v>298</v>
      </c>
      <c r="J277" s="45" t="str">
        <f>VLOOKUP(Table13232[[#This Row],[Track]],$C$836:$E$882,2,FALSE)</f>
        <v>Vic</v>
      </c>
      <c r="K277" s="49">
        <v>100</v>
      </c>
      <c r="L277" s="45" t="str">
        <f>IF(Table13232[[#This Row],[Fin]]&lt;&gt;"1st","",Table13232[[#This Row],[Div]]*Table13232[[#This Row],[Lev Bet]])</f>
        <v/>
      </c>
      <c r="M277" s="45">
        <f>IF(Table13232[[#This Row],[Lev Ret]]="",Table13232[[#This Row],[Lev Bet]]*-1,L277-K277)</f>
        <v>-100</v>
      </c>
      <c r="N277" s="135">
        <v>100</v>
      </c>
      <c r="O277" s="135" t="str">
        <f>IF(Table13232[[#This Row],[Fin]]&lt;&gt;"1st","",Table13232[[#This Row],[Div]]*Table13232[[#This Row],[Nat and Combo Bet]])</f>
        <v/>
      </c>
      <c r="P277" s="135">
        <f>IF(Table13232[[#This Row],[Lev Ret]]="",Table13232[[#This Row],[Nat and Combo Bet]]*-1,O277-N277)</f>
        <v>-100</v>
      </c>
      <c r="Q277" s="50">
        <f t="shared" si="12"/>
        <v>1</v>
      </c>
      <c r="R277" s="50">
        <f>IF(AND(Q276=2,Q277=1),"",IF(Q277=2,(N277+N278)/2,IF(Table13232[[#This Row],[Dual Listing]]=1,Table13232[[#This Row],[Nat and Combo Bet]],11)))</f>
        <v>100</v>
      </c>
      <c r="S277" s="50" t="str">
        <f t="shared" si="13"/>
        <v/>
      </c>
      <c r="T277" s="50">
        <f t="shared" si="14"/>
        <v>-100</v>
      </c>
      <c r="U277" s="50" t="str">
        <f>IF(Table13232[[#This Row],[Date]]&lt;$U$4,"","Live")</f>
        <v/>
      </c>
      <c r="V277" s="45" t="str">
        <f>TEXT(Table13232[[#This Row],[Date]],"DDD")</f>
        <v>Sat</v>
      </c>
      <c r="W277" s="45" t="str">
        <f>PROPER(TRIM(Table13232[[#This Row],[Horse]]))</f>
        <v>Hellsing</v>
      </c>
    </row>
    <row r="278" spans="1:23" x14ac:dyDescent="0.25">
      <c r="A278" s="43">
        <v>45794</v>
      </c>
      <c r="B278" s="44">
        <v>0.6875</v>
      </c>
      <c r="C278" s="44" t="s">
        <v>46</v>
      </c>
      <c r="D278" s="45">
        <v>10</v>
      </c>
      <c r="E278" s="45">
        <v>16</v>
      </c>
      <c r="F278" s="46" t="s">
        <v>418</v>
      </c>
      <c r="G278" s="46"/>
      <c r="H278" s="47"/>
      <c r="I278" s="52" t="s">
        <v>297</v>
      </c>
      <c r="J278" s="45" t="str">
        <f>VLOOKUP(Table13232[[#This Row],[Track]],$C$836:$E$882,2,FALSE)</f>
        <v>NSW</v>
      </c>
      <c r="K278" s="49">
        <v>100</v>
      </c>
      <c r="L278" s="45" t="str">
        <f>IF(Table13232[[#This Row],[Fin]]&lt;&gt;"1st","",Table13232[[#This Row],[Div]]*Table13232[[#This Row],[Lev Bet]])</f>
        <v/>
      </c>
      <c r="M278" s="45">
        <f>IF(Table13232[[#This Row],[Lev Ret]]="",Table13232[[#This Row],[Lev Bet]]*-1,L278-K278)</f>
        <v>-100</v>
      </c>
      <c r="N278" s="135">
        <v>150</v>
      </c>
      <c r="O278" s="135" t="str">
        <f>IF(Table13232[[#This Row],[Fin]]&lt;&gt;"1st","",Table13232[[#This Row],[Div]]*Table13232[[#This Row],[Nat and Combo Bet]])</f>
        <v/>
      </c>
      <c r="P278" s="135">
        <f>IF(Table13232[[#This Row],[Lev Ret]]="",Table13232[[#This Row],[Nat and Combo Bet]]*-1,O278-N278)</f>
        <v>-150</v>
      </c>
      <c r="Q278" s="50">
        <f t="shared" si="12"/>
        <v>1</v>
      </c>
      <c r="R278" s="50">
        <f>IF(AND(Q277=2,Q278=1),"",IF(Q278=2,(N278+N279)/2,IF(Table13232[[#This Row],[Dual Listing]]=1,Table13232[[#This Row],[Nat and Combo Bet]],11)))</f>
        <v>150</v>
      </c>
      <c r="S278" s="50" t="str">
        <f t="shared" si="13"/>
        <v/>
      </c>
      <c r="T278" s="50">
        <f t="shared" si="14"/>
        <v>-150</v>
      </c>
      <c r="U278" s="50" t="str">
        <f>IF(Table13232[[#This Row],[Date]]&lt;$U$4,"","Live")</f>
        <v/>
      </c>
      <c r="V278" s="45" t="str">
        <f>TEXT(Table13232[[#This Row],[Date]],"DDD")</f>
        <v>Sat</v>
      </c>
      <c r="W278" s="45" t="str">
        <f>PROPER(TRIM(Table13232[[#This Row],[Horse]]))</f>
        <v>Gallant Star</v>
      </c>
    </row>
    <row r="279" spans="1:23" x14ac:dyDescent="0.25">
      <c r="A279" s="43">
        <v>45801</v>
      </c>
      <c r="B279" s="44">
        <v>0.48819444444444443</v>
      </c>
      <c r="C279" s="44" t="s">
        <v>9</v>
      </c>
      <c r="D279" s="45">
        <v>1</v>
      </c>
      <c r="E279" s="45">
        <v>10</v>
      </c>
      <c r="F279" s="46" t="s">
        <v>167</v>
      </c>
      <c r="G279" s="46"/>
      <c r="H279" s="47"/>
      <c r="I279" s="47" t="s">
        <v>298</v>
      </c>
      <c r="J279" s="45" t="str">
        <f>VLOOKUP(Table13232[[#This Row],[Track]],$C$836:$E$882,2,FALSE)</f>
        <v>Qld</v>
      </c>
      <c r="K279" s="49">
        <v>100</v>
      </c>
      <c r="L279" s="45" t="str">
        <f>IF(Table13232[[#This Row],[Fin]]&lt;&gt;"1st","",Table13232[[#This Row],[Div]]*Table13232[[#This Row],[Lev Bet]])</f>
        <v/>
      </c>
      <c r="M279" s="45">
        <f>IF(Table13232[[#This Row],[Lev Ret]]="",Table13232[[#This Row],[Lev Bet]]*-1,L279-K279)</f>
        <v>-100</v>
      </c>
      <c r="N279" s="135">
        <v>100</v>
      </c>
      <c r="O279" s="135" t="str">
        <f>IF(Table13232[[#This Row],[Fin]]&lt;&gt;"1st","",Table13232[[#This Row],[Div]]*Table13232[[#This Row],[Nat and Combo Bet]])</f>
        <v/>
      </c>
      <c r="P279" s="135">
        <f>IF(Table13232[[#This Row],[Lev Ret]]="",Table13232[[#This Row],[Nat and Combo Bet]]*-1,O279-N279)</f>
        <v>-100</v>
      </c>
      <c r="Q279" s="50">
        <f t="shared" si="12"/>
        <v>1</v>
      </c>
      <c r="R279" s="50">
        <f>IF(AND(Q278=2,Q279=1),"",IF(Q279=2,(N279+N280)/2,IF(Table13232[[#This Row],[Dual Listing]]=1,Table13232[[#This Row],[Nat and Combo Bet]],11)))</f>
        <v>100</v>
      </c>
      <c r="S279" s="50" t="str">
        <f t="shared" si="13"/>
        <v/>
      </c>
      <c r="T279" s="50">
        <f t="shared" si="14"/>
        <v>-100</v>
      </c>
      <c r="U279" s="50" t="str">
        <f>IF(Table13232[[#This Row],[Date]]&lt;$U$4,"","Live")</f>
        <v/>
      </c>
      <c r="V279" s="45" t="str">
        <f>TEXT(Table13232[[#This Row],[Date]],"DDD")</f>
        <v>Sat</v>
      </c>
      <c r="W279" s="45" t="str">
        <f>PROPER(TRIM(Table13232[[#This Row],[Horse]]))</f>
        <v>Bews</v>
      </c>
    </row>
    <row r="280" spans="1:23" x14ac:dyDescent="0.25">
      <c r="A280" s="43">
        <v>45801</v>
      </c>
      <c r="B280" s="44">
        <v>0.54166666666666663</v>
      </c>
      <c r="C280" s="44" t="s">
        <v>15</v>
      </c>
      <c r="D280" s="45">
        <v>3</v>
      </c>
      <c r="E280" s="45">
        <v>12</v>
      </c>
      <c r="F280" s="46" t="s">
        <v>496</v>
      </c>
      <c r="G280" s="46"/>
      <c r="H280" s="47"/>
      <c r="I280" s="47" t="s">
        <v>298</v>
      </c>
      <c r="J280" s="45" t="str">
        <f>VLOOKUP(Table13232[[#This Row],[Track]],$C$836:$E$882,2,FALSE)</f>
        <v>Vic</v>
      </c>
      <c r="K280" s="49">
        <v>100</v>
      </c>
      <c r="L280" s="45" t="str">
        <f>IF(Table13232[[#This Row],[Fin]]&lt;&gt;"1st","",Table13232[[#This Row],[Div]]*Table13232[[#This Row],[Lev Bet]])</f>
        <v/>
      </c>
      <c r="M280" s="45">
        <f>IF(Table13232[[#This Row],[Lev Ret]]="",Table13232[[#This Row],[Lev Bet]]*-1,L280-K280)</f>
        <v>-100</v>
      </c>
      <c r="N280" s="135">
        <v>100</v>
      </c>
      <c r="O280" s="135" t="str">
        <f>IF(Table13232[[#This Row],[Fin]]&lt;&gt;"1st","",Table13232[[#This Row],[Div]]*Table13232[[#This Row],[Nat and Combo Bet]])</f>
        <v/>
      </c>
      <c r="P280" s="135">
        <f>IF(Table13232[[#This Row],[Lev Ret]]="",Table13232[[#This Row],[Nat and Combo Bet]]*-1,O280-N280)</f>
        <v>-100</v>
      </c>
      <c r="Q280" s="50">
        <f t="shared" si="12"/>
        <v>1</v>
      </c>
      <c r="R280" s="50">
        <f>IF(AND(Q279=2,Q280=1),"",IF(Q280=2,(N280+N281)/2,IF(Table13232[[#This Row],[Dual Listing]]=1,Table13232[[#This Row],[Nat and Combo Bet]],11)))</f>
        <v>100</v>
      </c>
      <c r="S280" s="50" t="str">
        <f t="shared" si="13"/>
        <v/>
      </c>
      <c r="T280" s="50">
        <f t="shared" si="14"/>
        <v>-100</v>
      </c>
      <c r="U280" s="50" t="str">
        <f>IF(Table13232[[#This Row],[Date]]&lt;$U$4,"","Live")</f>
        <v/>
      </c>
      <c r="V280" s="45" t="str">
        <f>TEXT(Table13232[[#This Row],[Date]],"DDD")</f>
        <v>Sat</v>
      </c>
      <c r="W280" s="45" t="str">
        <f>PROPER(TRIM(Table13232[[#This Row],[Horse]]))</f>
        <v>Sephia</v>
      </c>
    </row>
    <row r="281" spans="1:23" x14ac:dyDescent="0.25">
      <c r="A281" s="43">
        <v>45801</v>
      </c>
      <c r="B281" s="44">
        <v>0.56111111111111112</v>
      </c>
      <c r="C281" s="44" t="s">
        <v>9</v>
      </c>
      <c r="D281" s="45">
        <v>4</v>
      </c>
      <c r="E281" s="45">
        <v>7</v>
      </c>
      <c r="F281" s="46" t="s">
        <v>168</v>
      </c>
      <c r="G281" s="46"/>
      <c r="H281" s="47"/>
      <c r="I281" s="47" t="s">
        <v>298</v>
      </c>
      <c r="J281" s="45" t="str">
        <f>VLOOKUP(Table13232[[#This Row],[Track]],$C$836:$E$882,2,FALSE)</f>
        <v>Qld</v>
      </c>
      <c r="K281" s="49">
        <v>100</v>
      </c>
      <c r="L281" s="45" t="str">
        <f>IF(Table13232[[#This Row],[Fin]]&lt;&gt;"1st","",Table13232[[#This Row],[Div]]*Table13232[[#This Row],[Lev Bet]])</f>
        <v/>
      </c>
      <c r="M281" s="45">
        <f>IF(Table13232[[#This Row],[Lev Ret]]="",Table13232[[#This Row],[Lev Bet]]*-1,L281-K281)</f>
        <v>-100</v>
      </c>
      <c r="N281" s="135">
        <v>100</v>
      </c>
      <c r="O281" s="135" t="str">
        <f>IF(Table13232[[#This Row],[Fin]]&lt;&gt;"1st","",Table13232[[#This Row],[Div]]*Table13232[[#This Row],[Nat and Combo Bet]])</f>
        <v/>
      </c>
      <c r="P281" s="135">
        <f>IF(Table13232[[#This Row],[Lev Ret]]="",Table13232[[#This Row],[Nat and Combo Bet]]*-1,O281-N281)</f>
        <v>-100</v>
      </c>
      <c r="Q281" s="50">
        <f t="shared" si="12"/>
        <v>1</v>
      </c>
      <c r="R281" s="50">
        <f>IF(AND(Q280=2,Q281=1),"",IF(Q281=2,(N281+N282)/2,IF(Table13232[[#This Row],[Dual Listing]]=1,Table13232[[#This Row],[Nat and Combo Bet]],11)))</f>
        <v>100</v>
      </c>
      <c r="S281" s="50" t="str">
        <f t="shared" si="13"/>
        <v/>
      </c>
      <c r="T281" s="50">
        <f t="shared" si="14"/>
        <v>-100</v>
      </c>
      <c r="U281" s="50" t="str">
        <f>IF(Table13232[[#This Row],[Date]]&lt;$U$4,"","Live")</f>
        <v/>
      </c>
      <c r="V281" s="45" t="str">
        <f>TEXT(Table13232[[#This Row],[Date]],"DDD")</f>
        <v>Sat</v>
      </c>
      <c r="W281" s="45" t="str">
        <f>PROPER(TRIM(Table13232[[#This Row],[Horse]]))</f>
        <v>Appin Girl</v>
      </c>
    </row>
    <row r="282" spans="1:23" x14ac:dyDescent="0.25">
      <c r="A282" s="109">
        <v>45801</v>
      </c>
      <c r="B282" s="53">
        <v>0.59027777777777779</v>
      </c>
      <c r="C282" s="110" t="s">
        <v>15</v>
      </c>
      <c r="D282" s="111">
        <v>5</v>
      </c>
      <c r="E282" s="111">
        <v>11</v>
      </c>
      <c r="F282" s="112" t="s">
        <v>169</v>
      </c>
      <c r="G282" s="112" t="s">
        <v>23</v>
      </c>
      <c r="H282" s="113"/>
      <c r="I282" s="114" t="s">
        <v>297</v>
      </c>
      <c r="J282" s="45" t="str">
        <f>VLOOKUP(Table13232[[#This Row],[Track]],$C$836:$E$882,2,FALSE)</f>
        <v>Vic</v>
      </c>
      <c r="K282" s="55">
        <v>100</v>
      </c>
      <c r="L282" s="54" t="str">
        <f>IF(Table13232[[#This Row],[Fin]]&lt;&gt;"1st","",Table13232[[#This Row],[Div]]*Table13232[[#This Row],[Lev Bet]])</f>
        <v/>
      </c>
      <c r="M282" s="54">
        <f>IF(Table13232[[#This Row],[Lev Ret]]="",Table13232[[#This Row],[Lev Bet]]*-1,L282-K282)</f>
        <v>-100</v>
      </c>
      <c r="N282" s="135">
        <v>100</v>
      </c>
      <c r="O282" s="135" t="str">
        <f>IF(Table13232[[#This Row],[Fin]]&lt;&gt;"1st","",Table13232[[#This Row],[Div]]*Table13232[[#This Row],[Nat and Combo Bet]])</f>
        <v/>
      </c>
      <c r="P282" s="135">
        <f>IF(Table13232[[#This Row],[Lev Ret]]="",Table13232[[#This Row],[Nat and Combo Bet]]*-1,O282-N282)</f>
        <v>-100</v>
      </c>
      <c r="Q282" s="50">
        <f t="shared" si="12"/>
        <v>2</v>
      </c>
      <c r="R282" s="50">
        <f>IF(AND(Q281=2,Q282=1),"",IF(Q282=2,(N282+N283)/2,IF(Table13232[[#This Row],[Dual Listing]]=1,Table13232[[#This Row],[Nat and Combo Bet]],11)))</f>
        <v>100</v>
      </c>
      <c r="S282" s="50" t="str">
        <f t="shared" si="13"/>
        <v/>
      </c>
      <c r="T282" s="50">
        <f t="shared" si="14"/>
        <v>-100</v>
      </c>
      <c r="U282" s="50" t="str">
        <f>IF(Table13232[[#This Row],[Date]]&lt;$U$4,"","Live")</f>
        <v/>
      </c>
      <c r="V282" s="45" t="str">
        <f>TEXT(Table13232[[#This Row],[Date]],"DDD")</f>
        <v>Sat</v>
      </c>
      <c r="W282" s="45" t="str">
        <f>PROPER(TRIM(Table13232[[#This Row],[Horse]]))</f>
        <v>Changing Colours</v>
      </c>
    </row>
    <row r="283" spans="1:23" x14ac:dyDescent="0.25">
      <c r="A283" s="109">
        <v>45801</v>
      </c>
      <c r="B283" s="53">
        <v>0.59027777777777779</v>
      </c>
      <c r="C283" s="110" t="s">
        <v>15</v>
      </c>
      <c r="D283" s="111">
        <v>5</v>
      </c>
      <c r="E283" s="111">
        <v>11</v>
      </c>
      <c r="F283" s="112" t="s">
        <v>169</v>
      </c>
      <c r="G283" s="112" t="s">
        <v>23</v>
      </c>
      <c r="H283" s="113"/>
      <c r="I283" s="113" t="s">
        <v>298</v>
      </c>
      <c r="J283" s="45" t="str">
        <f>VLOOKUP(Table13232[[#This Row],[Track]],$C$836:$E$882,2,FALSE)</f>
        <v>Vic</v>
      </c>
      <c r="K283" s="55">
        <v>100</v>
      </c>
      <c r="L283" s="54" t="str">
        <f>IF(Table13232[[#This Row],[Fin]]&lt;&gt;"1st","",Table13232[[#This Row],[Div]]*Table13232[[#This Row],[Lev Bet]])</f>
        <v/>
      </c>
      <c r="M283" s="54">
        <f>IF(Table13232[[#This Row],[Lev Ret]]="",Table13232[[#This Row],[Lev Bet]]*-1,L283-K283)</f>
        <v>-100</v>
      </c>
      <c r="N283" s="135">
        <v>100</v>
      </c>
      <c r="O283" s="135" t="str">
        <f>IF(Table13232[[#This Row],[Fin]]&lt;&gt;"1st","",Table13232[[#This Row],[Div]]*Table13232[[#This Row],[Nat and Combo Bet]])</f>
        <v/>
      </c>
      <c r="P283" s="135">
        <f>IF(Table13232[[#This Row],[Lev Ret]]="",Table13232[[#This Row],[Nat and Combo Bet]]*-1,O283-N283)</f>
        <v>-100</v>
      </c>
      <c r="Q283" s="50">
        <f t="shared" si="12"/>
        <v>1</v>
      </c>
      <c r="R283" s="50" t="str">
        <f>IF(AND(Q282=2,Q283=1),"",IF(Q283=2,(N283+N284)/2,IF(Table13232[[#This Row],[Dual Listing]]=1,Table13232[[#This Row],[Nat and Combo Bet]],11)))</f>
        <v/>
      </c>
      <c r="S283" s="50" t="str">
        <f t="shared" si="13"/>
        <v/>
      </c>
      <c r="T283" s="50" t="str">
        <f t="shared" si="14"/>
        <v/>
      </c>
      <c r="U283" s="50" t="str">
        <f>IF(Table13232[[#This Row],[Date]]&lt;$U$4,"","Live")</f>
        <v/>
      </c>
      <c r="V283" s="45" t="str">
        <f>TEXT(Table13232[[#This Row],[Date]],"DDD")</f>
        <v>Sat</v>
      </c>
      <c r="W283" s="45" t="str">
        <f>PROPER(TRIM(Table13232[[#This Row],[Horse]]))</f>
        <v>Changing Colours</v>
      </c>
    </row>
    <row r="284" spans="1:23" x14ac:dyDescent="0.25">
      <c r="A284" s="43">
        <v>45801</v>
      </c>
      <c r="B284" s="44">
        <v>0.65625</v>
      </c>
      <c r="C284" s="44" t="s">
        <v>13</v>
      </c>
      <c r="D284" s="45">
        <v>9</v>
      </c>
      <c r="E284" s="45">
        <v>4</v>
      </c>
      <c r="F284" s="46" t="s">
        <v>41</v>
      </c>
      <c r="G284" s="46" t="s">
        <v>23</v>
      </c>
      <c r="H284" s="47"/>
      <c r="I284" s="52" t="s">
        <v>297</v>
      </c>
      <c r="J284" s="45" t="str">
        <f>VLOOKUP(Table13232[[#This Row],[Track]],$C$836:$E$882,2,FALSE)</f>
        <v>NSW</v>
      </c>
      <c r="K284" s="49">
        <v>100</v>
      </c>
      <c r="L284" s="45" t="str">
        <f>IF(Table13232[[#This Row],[Fin]]&lt;&gt;"1st","",Table13232[[#This Row],[Div]]*Table13232[[#This Row],[Lev Bet]])</f>
        <v/>
      </c>
      <c r="M284" s="45">
        <f>IF(Table13232[[#This Row],[Lev Ret]]="",Table13232[[#This Row],[Lev Bet]]*-1,L284-K284)</f>
        <v>-100</v>
      </c>
      <c r="N284" s="135">
        <v>100</v>
      </c>
      <c r="O284" s="135" t="str">
        <f>IF(Table13232[[#This Row],[Fin]]&lt;&gt;"1st","",Table13232[[#This Row],[Div]]*Table13232[[#This Row],[Nat and Combo Bet]])</f>
        <v/>
      </c>
      <c r="P284" s="135">
        <f>IF(Table13232[[#This Row],[Lev Ret]]="",Table13232[[#This Row],[Nat and Combo Bet]]*-1,O284-N284)</f>
        <v>-100</v>
      </c>
      <c r="Q284" s="50">
        <f t="shared" si="12"/>
        <v>1</v>
      </c>
      <c r="R284" s="50">
        <f>IF(AND(Q283=2,Q284=1),"",IF(Q284=2,(N284+N285)/2,IF(Table13232[[#This Row],[Dual Listing]]=1,Table13232[[#This Row],[Nat and Combo Bet]],11)))</f>
        <v>100</v>
      </c>
      <c r="S284" s="50" t="str">
        <f t="shared" si="13"/>
        <v/>
      </c>
      <c r="T284" s="50">
        <f t="shared" si="14"/>
        <v>-100</v>
      </c>
      <c r="U284" s="50" t="str">
        <f>IF(Table13232[[#This Row],[Date]]&lt;$U$4,"","Live")</f>
        <v/>
      </c>
      <c r="V284" s="45" t="str">
        <f>TEXT(Table13232[[#This Row],[Date]],"DDD")</f>
        <v>Sat</v>
      </c>
      <c r="W284" s="45" t="str">
        <f>PROPER(TRIM(Table13232[[#This Row],[Horse]]))</f>
        <v>Thunderlips</v>
      </c>
    </row>
    <row r="285" spans="1:23" x14ac:dyDescent="0.25">
      <c r="A285" s="43">
        <v>45801</v>
      </c>
      <c r="B285" s="44">
        <v>0.6645833333333333</v>
      </c>
      <c r="C285" s="44" t="s">
        <v>9</v>
      </c>
      <c r="D285" s="45">
        <v>8</v>
      </c>
      <c r="E285" s="45">
        <v>8</v>
      </c>
      <c r="F285" s="46" t="s">
        <v>170</v>
      </c>
      <c r="G285" s="46"/>
      <c r="H285" s="47"/>
      <c r="I285" s="47" t="s">
        <v>298</v>
      </c>
      <c r="J285" s="45" t="str">
        <f>VLOOKUP(Table13232[[#This Row],[Track]],$C$836:$E$882,2,FALSE)</f>
        <v>Qld</v>
      </c>
      <c r="K285" s="49">
        <v>100</v>
      </c>
      <c r="L285" s="45" t="str">
        <f>IF(Table13232[[#This Row],[Fin]]&lt;&gt;"1st","",Table13232[[#This Row],[Div]]*Table13232[[#This Row],[Lev Bet]])</f>
        <v/>
      </c>
      <c r="M285" s="45">
        <f>IF(Table13232[[#This Row],[Lev Ret]]="",Table13232[[#This Row],[Lev Bet]]*-1,L285-K285)</f>
        <v>-100</v>
      </c>
      <c r="N285" s="135">
        <v>100</v>
      </c>
      <c r="O285" s="135" t="str">
        <f>IF(Table13232[[#This Row],[Fin]]&lt;&gt;"1st","",Table13232[[#This Row],[Div]]*Table13232[[#This Row],[Nat and Combo Bet]])</f>
        <v/>
      </c>
      <c r="P285" s="135">
        <f>IF(Table13232[[#This Row],[Lev Ret]]="",Table13232[[#This Row],[Nat and Combo Bet]]*-1,O285-N285)</f>
        <v>-100</v>
      </c>
      <c r="Q285" s="50">
        <f t="shared" si="12"/>
        <v>1</v>
      </c>
      <c r="R285" s="50">
        <f>IF(AND(Q284=2,Q285=1),"",IF(Q285=2,(N285+N286)/2,IF(Table13232[[#This Row],[Dual Listing]]=1,Table13232[[#This Row],[Nat and Combo Bet]],11)))</f>
        <v>100</v>
      </c>
      <c r="S285" s="50" t="str">
        <f t="shared" si="13"/>
        <v/>
      </c>
      <c r="T285" s="50">
        <f t="shared" si="14"/>
        <v>-100</v>
      </c>
      <c r="U285" s="50" t="str">
        <f>IF(Table13232[[#This Row],[Date]]&lt;$U$4,"","Live")</f>
        <v/>
      </c>
      <c r="V285" s="45" t="str">
        <f>TEXT(Table13232[[#This Row],[Date]],"DDD")</f>
        <v>Sat</v>
      </c>
      <c r="W285" s="45" t="str">
        <f>PROPER(TRIM(Table13232[[#This Row],[Horse]]))</f>
        <v>Eliyass</v>
      </c>
    </row>
    <row r="286" spans="1:23" x14ac:dyDescent="0.25">
      <c r="A286" s="43">
        <v>45801</v>
      </c>
      <c r="B286" s="44">
        <v>0.67013888888888884</v>
      </c>
      <c r="C286" s="44" t="s">
        <v>15</v>
      </c>
      <c r="D286" s="45">
        <v>8</v>
      </c>
      <c r="E286" s="45">
        <v>10</v>
      </c>
      <c r="F286" s="46" t="s">
        <v>80</v>
      </c>
      <c r="G286" s="46"/>
      <c r="H286" s="47"/>
      <c r="I286" s="52" t="s">
        <v>297</v>
      </c>
      <c r="J286" s="45" t="str">
        <f>VLOOKUP(Table13232[[#This Row],[Track]],$C$836:$E$882,2,FALSE)</f>
        <v>Vic</v>
      </c>
      <c r="K286" s="49">
        <v>100</v>
      </c>
      <c r="L286" s="45" t="str">
        <f>IF(Table13232[[#This Row],[Fin]]&lt;&gt;"1st","",Table13232[[#This Row],[Div]]*Table13232[[#This Row],[Lev Bet]])</f>
        <v/>
      </c>
      <c r="M286" s="45">
        <f>IF(Table13232[[#This Row],[Lev Ret]]="",Table13232[[#This Row],[Lev Bet]]*-1,L286-K286)</f>
        <v>-100</v>
      </c>
      <c r="N286" s="135">
        <v>150</v>
      </c>
      <c r="O286" s="135" t="str">
        <f>IF(Table13232[[#This Row],[Fin]]&lt;&gt;"1st","",Table13232[[#This Row],[Div]]*Table13232[[#This Row],[Nat and Combo Bet]])</f>
        <v/>
      </c>
      <c r="P286" s="135">
        <f>IF(Table13232[[#This Row],[Lev Ret]]="",Table13232[[#This Row],[Nat and Combo Bet]]*-1,O286-N286)</f>
        <v>-150</v>
      </c>
      <c r="Q286" s="50">
        <f t="shared" si="12"/>
        <v>1</v>
      </c>
      <c r="R286" s="50">
        <f>IF(AND(Q285=2,Q286=1),"",IF(Q286=2,(N286+N287)/2,IF(Table13232[[#This Row],[Dual Listing]]=1,Table13232[[#This Row],[Nat and Combo Bet]],11)))</f>
        <v>150</v>
      </c>
      <c r="S286" s="50" t="str">
        <f t="shared" si="13"/>
        <v/>
      </c>
      <c r="T286" s="50">
        <f t="shared" si="14"/>
        <v>-150</v>
      </c>
      <c r="U286" s="50" t="str">
        <f>IF(Table13232[[#This Row],[Date]]&lt;$U$4,"","Live")</f>
        <v/>
      </c>
      <c r="V286" s="45" t="str">
        <f>TEXT(Table13232[[#This Row],[Date]],"DDD")</f>
        <v>Sat</v>
      </c>
      <c r="W286" s="45" t="str">
        <f>PROPER(TRIM(Table13232[[#This Row],[Horse]]))</f>
        <v>Accredited</v>
      </c>
    </row>
    <row r="287" spans="1:23" x14ac:dyDescent="0.25">
      <c r="A287" s="43">
        <v>45801</v>
      </c>
      <c r="B287" s="44">
        <v>0.68402777777777779</v>
      </c>
      <c r="C287" s="44" t="s">
        <v>13</v>
      </c>
      <c r="D287" s="45">
        <v>10</v>
      </c>
      <c r="E287" s="45">
        <v>10</v>
      </c>
      <c r="F287" s="46" t="s">
        <v>426</v>
      </c>
      <c r="G287" s="46" t="s">
        <v>22</v>
      </c>
      <c r="H287" s="47"/>
      <c r="I287" s="52" t="s">
        <v>297</v>
      </c>
      <c r="J287" s="45" t="str">
        <f>VLOOKUP(Table13232[[#This Row],[Track]],$C$836:$E$882,2,FALSE)</f>
        <v>NSW</v>
      </c>
      <c r="K287" s="49">
        <v>100</v>
      </c>
      <c r="L287" s="45" t="str">
        <f>IF(Table13232[[#This Row],[Fin]]&lt;&gt;"1st","",Table13232[[#This Row],[Div]]*Table13232[[#This Row],[Lev Bet]])</f>
        <v/>
      </c>
      <c r="M287" s="45">
        <f>IF(Table13232[[#This Row],[Lev Ret]]="",Table13232[[#This Row],[Lev Bet]]*-1,L287-K287)</f>
        <v>-100</v>
      </c>
      <c r="N287" s="135">
        <v>100</v>
      </c>
      <c r="O287" s="135" t="str">
        <f>IF(Table13232[[#This Row],[Fin]]&lt;&gt;"1st","",Table13232[[#This Row],[Div]]*Table13232[[#This Row],[Nat and Combo Bet]])</f>
        <v/>
      </c>
      <c r="P287" s="135">
        <f>IF(Table13232[[#This Row],[Lev Ret]]="",Table13232[[#This Row],[Nat and Combo Bet]]*-1,O287-N287)</f>
        <v>-100</v>
      </c>
      <c r="Q287" s="50">
        <f t="shared" si="12"/>
        <v>1</v>
      </c>
      <c r="R287" s="50">
        <f>IF(AND(Q286=2,Q287=1),"",IF(Q287=2,(N287+N288)/2,IF(Table13232[[#This Row],[Dual Listing]]=1,Table13232[[#This Row],[Nat and Combo Bet]],11)))</f>
        <v>100</v>
      </c>
      <c r="S287" s="50" t="str">
        <f t="shared" si="13"/>
        <v/>
      </c>
      <c r="T287" s="50">
        <f t="shared" si="14"/>
        <v>-100</v>
      </c>
      <c r="U287" s="50" t="str">
        <f>IF(Table13232[[#This Row],[Date]]&lt;$U$4,"","Live")</f>
        <v/>
      </c>
      <c r="V287" s="45" t="str">
        <f>TEXT(Table13232[[#This Row],[Date]],"DDD")</f>
        <v>Sat</v>
      </c>
      <c r="W287" s="45" t="str">
        <f>PROPER(TRIM(Table13232[[#This Row],[Horse]]))</f>
        <v>She'S Unusual</v>
      </c>
    </row>
    <row r="288" spans="1:23" x14ac:dyDescent="0.25">
      <c r="A288" s="43">
        <v>45801</v>
      </c>
      <c r="B288" s="44">
        <v>0.69097222222222221</v>
      </c>
      <c r="C288" s="44" t="s">
        <v>15</v>
      </c>
      <c r="D288" s="45">
        <v>9</v>
      </c>
      <c r="E288" s="45">
        <v>7</v>
      </c>
      <c r="F288" s="46" t="s">
        <v>78</v>
      </c>
      <c r="G288" s="46"/>
      <c r="H288" s="47"/>
      <c r="I288" s="47" t="s">
        <v>298</v>
      </c>
      <c r="J288" s="45" t="str">
        <f>VLOOKUP(Table13232[[#This Row],[Track]],$C$836:$E$882,2,FALSE)</f>
        <v>Vic</v>
      </c>
      <c r="K288" s="49">
        <v>100</v>
      </c>
      <c r="L288" s="45" t="str">
        <f>IF(Table13232[[#This Row],[Fin]]&lt;&gt;"1st","",Table13232[[#This Row],[Div]]*Table13232[[#This Row],[Lev Bet]])</f>
        <v/>
      </c>
      <c r="M288" s="45">
        <f>IF(Table13232[[#This Row],[Lev Ret]]="",Table13232[[#This Row],[Lev Bet]]*-1,L288-K288)</f>
        <v>-100</v>
      </c>
      <c r="N288" s="135">
        <v>100</v>
      </c>
      <c r="O288" s="135" t="str">
        <f>IF(Table13232[[#This Row],[Fin]]&lt;&gt;"1st","",Table13232[[#This Row],[Div]]*Table13232[[#This Row],[Nat and Combo Bet]])</f>
        <v/>
      </c>
      <c r="P288" s="135">
        <f>IF(Table13232[[#This Row],[Lev Ret]]="",Table13232[[#This Row],[Nat and Combo Bet]]*-1,O288-N288)</f>
        <v>-100</v>
      </c>
      <c r="Q288" s="50">
        <f t="shared" si="12"/>
        <v>1</v>
      </c>
      <c r="R288" s="50">
        <f>IF(AND(Q287=2,Q288=1),"",IF(Q288=2,(N288+N289)/2,IF(Table13232[[#This Row],[Dual Listing]]=1,Table13232[[#This Row],[Nat and Combo Bet]],11)))</f>
        <v>100</v>
      </c>
      <c r="S288" s="50" t="str">
        <f t="shared" si="13"/>
        <v/>
      </c>
      <c r="T288" s="50">
        <f t="shared" si="14"/>
        <v>-100</v>
      </c>
      <c r="U288" s="50" t="str">
        <f>IF(Table13232[[#This Row],[Date]]&lt;$U$4,"","Live")</f>
        <v/>
      </c>
      <c r="V288" s="45" t="str">
        <f>TEXT(Table13232[[#This Row],[Date]],"DDD")</f>
        <v>Sat</v>
      </c>
      <c r="W288" s="45" t="str">
        <f>PROPER(TRIM(Table13232[[#This Row],[Horse]]))</f>
        <v>Oh Too Good</v>
      </c>
    </row>
    <row r="289" spans="1:23" x14ac:dyDescent="0.25">
      <c r="A289" s="43">
        <v>45801</v>
      </c>
      <c r="B289" s="44">
        <v>0.69097222222222221</v>
      </c>
      <c r="C289" s="44" t="s">
        <v>15</v>
      </c>
      <c r="D289" s="45">
        <v>9</v>
      </c>
      <c r="E289" s="45">
        <v>8</v>
      </c>
      <c r="F289" s="46" t="s">
        <v>371</v>
      </c>
      <c r="G289" s="46" t="s">
        <v>22</v>
      </c>
      <c r="H289" s="47"/>
      <c r="I289" s="52" t="s">
        <v>297</v>
      </c>
      <c r="J289" s="45" t="str">
        <f>VLOOKUP(Table13232[[#This Row],[Track]],$C$836:$E$882,2,FALSE)</f>
        <v>Vic</v>
      </c>
      <c r="K289" s="49">
        <v>100</v>
      </c>
      <c r="L289" s="45" t="str">
        <f>IF(Table13232[[#This Row],[Fin]]&lt;&gt;"1st","",Table13232[[#This Row],[Div]]*Table13232[[#This Row],[Lev Bet]])</f>
        <v/>
      </c>
      <c r="M289" s="45">
        <f>IF(Table13232[[#This Row],[Lev Ret]]="",Table13232[[#This Row],[Lev Bet]]*-1,L289-K289)</f>
        <v>-100</v>
      </c>
      <c r="N289" s="135">
        <v>100</v>
      </c>
      <c r="O289" s="135" t="str">
        <f>IF(Table13232[[#This Row],[Fin]]&lt;&gt;"1st","",Table13232[[#This Row],[Div]]*Table13232[[#This Row],[Nat and Combo Bet]])</f>
        <v/>
      </c>
      <c r="P289" s="135">
        <f>IF(Table13232[[#This Row],[Lev Ret]]="",Table13232[[#This Row],[Nat and Combo Bet]]*-1,O289-N289)</f>
        <v>-100</v>
      </c>
      <c r="Q289" s="50">
        <f t="shared" si="12"/>
        <v>1</v>
      </c>
      <c r="R289" s="50">
        <f>IF(AND(Q288=2,Q289=1),"",IF(Q289=2,(N289+N290)/2,IF(Table13232[[#This Row],[Dual Listing]]=1,Table13232[[#This Row],[Nat and Combo Bet]],11)))</f>
        <v>100</v>
      </c>
      <c r="S289" s="50" t="str">
        <f t="shared" si="13"/>
        <v/>
      </c>
      <c r="T289" s="50">
        <f t="shared" si="14"/>
        <v>-100</v>
      </c>
      <c r="U289" s="50" t="str">
        <f>IF(Table13232[[#This Row],[Date]]&lt;$U$4,"","Live")</f>
        <v/>
      </c>
      <c r="V289" s="45" t="str">
        <f>TEXT(Table13232[[#This Row],[Date]],"DDD")</f>
        <v>Sat</v>
      </c>
      <c r="W289" s="45" t="str">
        <f>PROPER(TRIM(Table13232[[#This Row],[Horse]]))</f>
        <v>Step Aside</v>
      </c>
    </row>
    <row r="290" spans="1:23" x14ac:dyDescent="0.25">
      <c r="A290" s="43">
        <v>45808</v>
      </c>
      <c r="B290" s="44">
        <v>0.48819444444444443</v>
      </c>
      <c r="C290" s="44" t="s">
        <v>12</v>
      </c>
      <c r="D290" s="45">
        <v>1</v>
      </c>
      <c r="E290" s="45">
        <v>7</v>
      </c>
      <c r="F290" s="46" t="s">
        <v>159</v>
      </c>
      <c r="G290" s="46" t="s">
        <v>21</v>
      </c>
      <c r="H290" s="47">
        <v>2.7</v>
      </c>
      <c r="I290" s="47" t="s">
        <v>298</v>
      </c>
      <c r="J290" s="45" t="str">
        <f>VLOOKUP(Table13232[[#This Row],[Track]],$C$836:$E$882,2,FALSE)</f>
        <v>Qld</v>
      </c>
      <c r="K290" s="49">
        <v>100</v>
      </c>
      <c r="L290" s="45">
        <f>IF(Table13232[[#This Row],[Fin]]&lt;&gt;"1st","",Table13232[[#This Row],[Div]]*Table13232[[#This Row],[Lev Bet]])</f>
        <v>270</v>
      </c>
      <c r="M290" s="45">
        <f>IF(Table13232[[#This Row],[Lev Ret]]="",Table13232[[#This Row],[Lev Bet]]*-1,L290-K290)</f>
        <v>170</v>
      </c>
      <c r="N290" s="135">
        <v>100</v>
      </c>
      <c r="O290" s="135">
        <f>IF(Table13232[[#This Row],[Fin]]&lt;&gt;"1st","",Table13232[[#This Row],[Div]]*Table13232[[#This Row],[Nat and Combo Bet]])</f>
        <v>270</v>
      </c>
      <c r="P290" s="135">
        <f>IF(Table13232[[#This Row],[Lev Ret]]="",Table13232[[#This Row],[Nat and Combo Bet]]*-1,O290-N290)</f>
        <v>170</v>
      </c>
      <c r="Q290" s="50">
        <f t="shared" si="12"/>
        <v>1</v>
      </c>
      <c r="R290" s="50">
        <f>IF(AND(Q289=2,Q290=1),"",IF(Q290=2,(N290+N291)/2,IF(Table13232[[#This Row],[Dual Listing]]=1,Table13232[[#This Row],[Nat and Combo Bet]],11)))</f>
        <v>100</v>
      </c>
      <c r="S290" s="50">
        <f t="shared" si="13"/>
        <v>270</v>
      </c>
      <c r="T290" s="50">
        <f t="shared" si="14"/>
        <v>170</v>
      </c>
      <c r="U290" s="50" t="str">
        <f>IF(Table13232[[#This Row],[Date]]&lt;$U$4,"","Live")</f>
        <v/>
      </c>
      <c r="V290" s="45" t="str">
        <f>TEXT(Table13232[[#This Row],[Date]],"DDD")</f>
        <v>Sat</v>
      </c>
      <c r="W290" s="45" t="str">
        <f>PROPER(TRIM(Table13232[[#This Row],[Horse]]))</f>
        <v>Demon Darb</v>
      </c>
    </row>
    <row r="291" spans="1:23" x14ac:dyDescent="0.25">
      <c r="A291" s="43">
        <v>45808</v>
      </c>
      <c r="B291" s="44">
        <v>0.50694444444444442</v>
      </c>
      <c r="C291" s="44" t="s">
        <v>11</v>
      </c>
      <c r="D291" s="45">
        <v>3</v>
      </c>
      <c r="E291" s="45">
        <v>8</v>
      </c>
      <c r="F291" s="46" t="s">
        <v>427</v>
      </c>
      <c r="G291" s="46" t="s">
        <v>22</v>
      </c>
      <c r="H291" s="47"/>
      <c r="I291" s="52" t="s">
        <v>297</v>
      </c>
      <c r="J291" s="45" t="str">
        <f>VLOOKUP(Table13232[[#This Row],[Track]],$C$836:$E$882,2,FALSE)</f>
        <v>NSW</v>
      </c>
      <c r="K291" s="49">
        <v>100</v>
      </c>
      <c r="L291" s="45" t="str">
        <f>IF(Table13232[[#This Row],[Fin]]&lt;&gt;"1st","",Table13232[[#This Row],[Div]]*Table13232[[#This Row],[Lev Bet]])</f>
        <v/>
      </c>
      <c r="M291" s="45">
        <f>IF(Table13232[[#This Row],[Lev Ret]]="",Table13232[[#This Row],[Lev Bet]]*-1,L291-K291)</f>
        <v>-100</v>
      </c>
      <c r="N291" s="135">
        <v>150</v>
      </c>
      <c r="O291" s="135" t="str">
        <f>IF(Table13232[[#This Row],[Fin]]&lt;&gt;"1st","",Table13232[[#This Row],[Div]]*Table13232[[#This Row],[Nat and Combo Bet]])</f>
        <v/>
      </c>
      <c r="P291" s="135">
        <f>IF(Table13232[[#This Row],[Lev Ret]]="",Table13232[[#This Row],[Nat and Combo Bet]]*-1,O291-N291)</f>
        <v>-150</v>
      </c>
      <c r="Q291" s="50">
        <f t="shared" si="12"/>
        <v>1</v>
      </c>
      <c r="R291" s="50">
        <f>IF(AND(Q290=2,Q291=1),"",IF(Q291=2,(N291+N292)/2,IF(Table13232[[#This Row],[Dual Listing]]=1,Table13232[[#This Row],[Nat and Combo Bet]],11)))</f>
        <v>150</v>
      </c>
      <c r="S291" s="50" t="str">
        <f t="shared" si="13"/>
        <v/>
      </c>
      <c r="T291" s="50">
        <f t="shared" si="14"/>
        <v>-150</v>
      </c>
      <c r="U291" s="50" t="str">
        <f>IF(Table13232[[#This Row],[Date]]&lt;$U$4,"","Live")</f>
        <v/>
      </c>
      <c r="V291" s="45" t="str">
        <f>TEXT(Table13232[[#This Row],[Date]],"DDD")</f>
        <v>Sat</v>
      </c>
      <c r="W291" s="45" t="str">
        <f>PROPER(TRIM(Table13232[[#This Row],[Horse]]))</f>
        <v>Harry'S Bar</v>
      </c>
    </row>
    <row r="292" spans="1:23" x14ac:dyDescent="0.25">
      <c r="A292" s="43">
        <v>45808</v>
      </c>
      <c r="B292" s="44">
        <v>0.54166666666666663</v>
      </c>
      <c r="C292" s="44" t="s">
        <v>34</v>
      </c>
      <c r="D292" s="45">
        <v>3</v>
      </c>
      <c r="E292" s="45">
        <v>1</v>
      </c>
      <c r="F292" s="46" t="s">
        <v>150</v>
      </c>
      <c r="G292" s="46" t="s">
        <v>21</v>
      </c>
      <c r="H292" s="47">
        <v>1.9</v>
      </c>
      <c r="I292" s="47" t="s">
        <v>298</v>
      </c>
      <c r="J292" s="45" t="str">
        <f>VLOOKUP(Table13232[[#This Row],[Track]],$C$836:$E$882,2,FALSE)</f>
        <v>Vic</v>
      </c>
      <c r="K292" s="49">
        <v>100</v>
      </c>
      <c r="L292" s="45">
        <f>IF(Table13232[[#This Row],[Fin]]&lt;&gt;"1st","",Table13232[[#This Row],[Div]]*Table13232[[#This Row],[Lev Bet]])</f>
        <v>190</v>
      </c>
      <c r="M292" s="45">
        <f>IF(Table13232[[#This Row],[Lev Ret]]="",Table13232[[#This Row],[Lev Bet]]*-1,L292-K292)</f>
        <v>90</v>
      </c>
      <c r="N292" s="135">
        <v>100</v>
      </c>
      <c r="O292" s="135">
        <f>IF(Table13232[[#This Row],[Fin]]&lt;&gt;"1st","",Table13232[[#This Row],[Div]]*Table13232[[#This Row],[Nat and Combo Bet]])</f>
        <v>190</v>
      </c>
      <c r="P292" s="135">
        <f>IF(Table13232[[#This Row],[Lev Ret]]="",Table13232[[#This Row],[Nat and Combo Bet]]*-1,O292-N292)</f>
        <v>90</v>
      </c>
      <c r="Q292" s="50">
        <f t="shared" si="12"/>
        <v>1</v>
      </c>
      <c r="R292" s="50">
        <f>IF(AND(Q291=2,Q292=1),"",IF(Q292=2,(N292+N293)/2,IF(Table13232[[#This Row],[Dual Listing]]=1,Table13232[[#This Row],[Nat and Combo Bet]],11)))</f>
        <v>100</v>
      </c>
      <c r="S292" s="50">
        <f t="shared" si="13"/>
        <v>190</v>
      </c>
      <c r="T292" s="50">
        <f t="shared" si="14"/>
        <v>90</v>
      </c>
      <c r="U292" s="50" t="str">
        <f>IF(Table13232[[#This Row],[Date]]&lt;$U$4,"","Live")</f>
        <v/>
      </c>
      <c r="V292" s="45" t="str">
        <f>TEXT(Table13232[[#This Row],[Date]],"DDD")</f>
        <v>Sat</v>
      </c>
      <c r="W292" s="45" t="str">
        <f>PROPER(TRIM(Table13232[[#This Row],[Horse]]))</f>
        <v>Big Swinger</v>
      </c>
    </row>
    <row r="293" spans="1:23" x14ac:dyDescent="0.25">
      <c r="A293" s="43">
        <v>45808</v>
      </c>
      <c r="B293" s="44">
        <v>0.56111111111111112</v>
      </c>
      <c r="C293" s="44" t="s">
        <v>12</v>
      </c>
      <c r="D293" s="45">
        <v>4</v>
      </c>
      <c r="E293" s="45">
        <v>1</v>
      </c>
      <c r="F293" s="46" t="s">
        <v>74</v>
      </c>
      <c r="G293" s="46" t="s">
        <v>23</v>
      </c>
      <c r="H293" s="47"/>
      <c r="I293" s="47" t="s">
        <v>298</v>
      </c>
      <c r="J293" s="45" t="str">
        <f>VLOOKUP(Table13232[[#This Row],[Track]],$C$836:$E$882,2,FALSE)</f>
        <v>Qld</v>
      </c>
      <c r="K293" s="49">
        <v>100</v>
      </c>
      <c r="L293" s="45" t="str">
        <f>IF(Table13232[[#This Row],[Fin]]&lt;&gt;"1st","",Table13232[[#This Row],[Div]]*Table13232[[#This Row],[Lev Bet]])</f>
        <v/>
      </c>
      <c r="M293" s="45">
        <f>IF(Table13232[[#This Row],[Lev Ret]]="",Table13232[[#This Row],[Lev Bet]]*-1,L293-K293)</f>
        <v>-100</v>
      </c>
      <c r="N293" s="135">
        <v>100</v>
      </c>
      <c r="O293" s="135" t="str">
        <f>IF(Table13232[[#This Row],[Fin]]&lt;&gt;"1st","",Table13232[[#This Row],[Div]]*Table13232[[#This Row],[Nat and Combo Bet]])</f>
        <v/>
      </c>
      <c r="P293" s="135">
        <f>IF(Table13232[[#This Row],[Lev Ret]]="",Table13232[[#This Row],[Nat and Combo Bet]]*-1,O293-N293)</f>
        <v>-100</v>
      </c>
      <c r="Q293" s="50">
        <f t="shared" si="12"/>
        <v>1</v>
      </c>
      <c r="R293" s="50">
        <f>IF(AND(Q292=2,Q293=1),"",IF(Q293=2,(N293+N294)/2,IF(Table13232[[#This Row],[Dual Listing]]=1,Table13232[[#This Row],[Nat and Combo Bet]],11)))</f>
        <v>100</v>
      </c>
      <c r="S293" s="50" t="str">
        <f t="shared" si="13"/>
        <v/>
      </c>
      <c r="T293" s="50">
        <f t="shared" si="14"/>
        <v>-100</v>
      </c>
      <c r="U293" s="50" t="str">
        <f>IF(Table13232[[#This Row],[Date]]&lt;$U$4,"","Live")</f>
        <v/>
      </c>
      <c r="V293" s="45" t="str">
        <f>TEXT(Table13232[[#This Row],[Date]],"DDD")</f>
        <v>Sat</v>
      </c>
      <c r="W293" s="45" t="str">
        <f>PROPER(TRIM(Table13232[[#This Row],[Horse]]))</f>
        <v>Tavi Time</v>
      </c>
    </row>
    <row r="294" spans="1:23" x14ac:dyDescent="0.25">
      <c r="A294" s="43">
        <v>45808</v>
      </c>
      <c r="B294" s="44">
        <v>0.57986111111111116</v>
      </c>
      <c r="C294" s="44" t="s">
        <v>11</v>
      </c>
      <c r="D294" s="45">
        <v>6</v>
      </c>
      <c r="E294" s="45">
        <v>4</v>
      </c>
      <c r="F294" s="46" t="s">
        <v>420</v>
      </c>
      <c r="G294" s="46"/>
      <c r="H294" s="47"/>
      <c r="I294" s="52" t="s">
        <v>297</v>
      </c>
      <c r="J294" s="45" t="str">
        <f>VLOOKUP(Table13232[[#This Row],[Track]],$C$836:$E$882,2,FALSE)</f>
        <v>NSW</v>
      </c>
      <c r="K294" s="49">
        <v>100</v>
      </c>
      <c r="L294" s="45" t="str">
        <f>IF(Table13232[[#This Row],[Fin]]&lt;&gt;"1st","",Table13232[[#This Row],[Div]]*Table13232[[#This Row],[Lev Bet]])</f>
        <v/>
      </c>
      <c r="M294" s="45">
        <f>IF(Table13232[[#This Row],[Lev Ret]]="",Table13232[[#This Row],[Lev Bet]]*-1,L294-K294)</f>
        <v>-100</v>
      </c>
      <c r="N294" s="135">
        <v>100</v>
      </c>
      <c r="O294" s="135" t="str">
        <f>IF(Table13232[[#This Row],[Fin]]&lt;&gt;"1st","",Table13232[[#This Row],[Div]]*Table13232[[#This Row],[Nat and Combo Bet]])</f>
        <v/>
      </c>
      <c r="P294" s="135">
        <f>IF(Table13232[[#This Row],[Lev Ret]]="",Table13232[[#This Row],[Nat and Combo Bet]]*-1,O294-N294)</f>
        <v>-100</v>
      </c>
      <c r="Q294" s="50">
        <f t="shared" si="12"/>
        <v>1</v>
      </c>
      <c r="R294" s="50">
        <f>IF(AND(Q293=2,Q294=1),"",IF(Q294=2,(N294+N295)/2,IF(Table13232[[#This Row],[Dual Listing]]=1,Table13232[[#This Row],[Nat and Combo Bet]],11)))</f>
        <v>100</v>
      </c>
      <c r="S294" s="50" t="str">
        <f t="shared" si="13"/>
        <v/>
      </c>
      <c r="T294" s="50">
        <f t="shared" si="14"/>
        <v>-100</v>
      </c>
      <c r="U294" s="50" t="str">
        <f>IF(Table13232[[#This Row],[Date]]&lt;$U$4,"","Live")</f>
        <v/>
      </c>
      <c r="V294" s="45" t="str">
        <f>TEXT(Table13232[[#This Row],[Date]],"DDD")</f>
        <v>Sat</v>
      </c>
      <c r="W294" s="45" t="str">
        <f>PROPER(TRIM(Table13232[[#This Row],[Horse]]))</f>
        <v>Enter The Dragon</v>
      </c>
    </row>
    <row r="295" spans="1:23" x14ac:dyDescent="0.25">
      <c r="A295" s="43">
        <v>45808</v>
      </c>
      <c r="B295" s="44">
        <v>0.59027777777777779</v>
      </c>
      <c r="C295" s="44" t="s">
        <v>34</v>
      </c>
      <c r="D295" s="45">
        <v>5</v>
      </c>
      <c r="E295" s="45">
        <v>2</v>
      </c>
      <c r="F295" s="46" t="s">
        <v>421</v>
      </c>
      <c r="G295" s="46" t="s">
        <v>21</v>
      </c>
      <c r="H295" s="47">
        <v>1.85</v>
      </c>
      <c r="I295" s="52" t="s">
        <v>297</v>
      </c>
      <c r="J295" s="45" t="str">
        <f>VLOOKUP(Table13232[[#This Row],[Track]],$C$836:$E$882,2,FALSE)</f>
        <v>Vic</v>
      </c>
      <c r="K295" s="49">
        <v>100</v>
      </c>
      <c r="L295" s="45">
        <f>IF(Table13232[[#This Row],[Fin]]&lt;&gt;"1st","",Table13232[[#This Row],[Div]]*Table13232[[#This Row],[Lev Bet]])</f>
        <v>185</v>
      </c>
      <c r="M295" s="45">
        <f>IF(Table13232[[#This Row],[Lev Ret]]="",Table13232[[#This Row],[Lev Bet]]*-1,L295-K295)</f>
        <v>85</v>
      </c>
      <c r="N295" s="135">
        <v>50</v>
      </c>
      <c r="O295" s="135">
        <f>IF(Table13232[[#This Row],[Fin]]&lt;&gt;"1st","",Table13232[[#This Row],[Div]]*Table13232[[#This Row],[Nat and Combo Bet]])</f>
        <v>92.5</v>
      </c>
      <c r="P295" s="135">
        <f>IF(Table13232[[#This Row],[Lev Ret]]="",Table13232[[#This Row],[Nat and Combo Bet]]*-1,O295-N295)</f>
        <v>42.5</v>
      </c>
      <c r="Q295" s="50">
        <f t="shared" si="12"/>
        <v>1</v>
      </c>
      <c r="R295" s="50">
        <f>IF(AND(Q294=2,Q295=1),"",IF(Q295=2,(N295+N296)/2,IF(Table13232[[#This Row],[Dual Listing]]=1,Table13232[[#This Row],[Nat and Combo Bet]],11)))</f>
        <v>50</v>
      </c>
      <c r="S295" s="50">
        <f t="shared" si="13"/>
        <v>92.5</v>
      </c>
      <c r="T295" s="50">
        <f t="shared" si="14"/>
        <v>42.5</v>
      </c>
      <c r="U295" s="50" t="str">
        <f>IF(Table13232[[#This Row],[Date]]&lt;$U$4,"","Live")</f>
        <v/>
      </c>
      <c r="V295" s="45" t="str">
        <f>TEXT(Table13232[[#This Row],[Date]],"DDD")</f>
        <v>Sat</v>
      </c>
      <c r="W295" s="45" t="str">
        <f>PROPER(TRIM(Table13232[[#This Row],[Horse]]))</f>
        <v>Madiyya</v>
      </c>
    </row>
    <row r="296" spans="1:23" x14ac:dyDescent="0.25">
      <c r="A296" s="43">
        <v>45808</v>
      </c>
      <c r="B296" s="44">
        <v>0.60416666666666663</v>
      </c>
      <c r="C296" s="44" t="s">
        <v>11</v>
      </c>
      <c r="D296" s="45">
        <v>7</v>
      </c>
      <c r="E296" s="45">
        <v>10</v>
      </c>
      <c r="F296" s="46" t="s">
        <v>183</v>
      </c>
      <c r="G296" s="46" t="s">
        <v>21</v>
      </c>
      <c r="H296" s="47">
        <v>2.6</v>
      </c>
      <c r="I296" s="52" t="s">
        <v>297</v>
      </c>
      <c r="J296" s="45" t="str">
        <f>VLOOKUP(Table13232[[#This Row],[Track]],$C$836:$E$882,2,FALSE)</f>
        <v>NSW</v>
      </c>
      <c r="K296" s="49">
        <v>100</v>
      </c>
      <c r="L296" s="45">
        <f>IF(Table13232[[#This Row],[Fin]]&lt;&gt;"1st","",Table13232[[#This Row],[Div]]*Table13232[[#This Row],[Lev Bet]])</f>
        <v>260</v>
      </c>
      <c r="M296" s="45">
        <f>IF(Table13232[[#This Row],[Lev Ret]]="",Table13232[[#This Row],[Lev Bet]]*-1,L296-K296)</f>
        <v>160</v>
      </c>
      <c r="N296" s="135">
        <v>140</v>
      </c>
      <c r="O296" s="135">
        <f>IF(Table13232[[#This Row],[Fin]]&lt;&gt;"1st","",Table13232[[#This Row],[Div]]*Table13232[[#This Row],[Nat and Combo Bet]])</f>
        <v>364</v>
      </c>
      <c r="P296" s="135">
        <f>IF(Table13232[[#This Row],[Lev Ret]]="",Table13232[[#This Row],[Nat and Combo Bet]]*-1,O296-N296)</f>
        <v>224</v>
      </c>
      <c r="Q296" s="50">
        <f t="shared" si="12"/>
        <v>1</v>
      </c>
      <c r="R296" s="50">
        <f>IF(AND(Q295=2,Q296=1),"",IF(Q296=2,(N296+N297)/2,IF(Table13232[[#This Row],[Dual Listing]]=1,Table13232[[#This Row],[Nat and Combo Bet]],11)))</f>
        <v>140</v>
      </c>
      <c r="S296" s="50">
        <f t="shared" si="13"/>
        <v>364</v>
      </c>
      <c r="T296" s="50">
        <f t="shared" si="14"/>
        <v>224</v>
      </c>
      <c r="U296" s="50" t="str">
        <f>IF(Table13232[[#This Row],[Date]]&lt;$U$4,"","Live")</f>
        <v/>
      </c>
      <c r="V296" s="45" t="str">
        <f>TEXT(Table13232[[#This Row],[Date]],"DDD")</f>
        <v>Sat</v>
      </c>
      <c r="W296" s="45" t="str">
        <f>PROPER(TRIM(Table13232[[#This Row],[Horse]]))</f>
        <v>Kerguelen</v>
      </c>
    </row>
    <row r="297" spans="1:23" x14ac:dyDescent="0.25">
      <c r="A297" s="43">
        <v>45808</v>
      </c>
      <c r="B297" s="44">
        <v>0.61458333333333337</v>
      </c>
      <c r="C297" s="44" t="s">
        <v>34</v>
      </c>
      <c r="D297" s="45">
        <v>6</v>
      </c>
      <c r="E297" s="45">
        <v>3</v>
      </c>
      <c r="F297" s="46" t="s">
        <v>172</v>
      </c>
      <c r="G297" s="46" t="s">
        <v>21</v>
      </c>
      <c r="H297" s="47">
        <v>3.4</v>
      </c>
      <c r="I297" s="52" t="s">
        <v>297</v>
      </c>
      <c r="J297" s="45" t="str">
        <f>VLOOKUP(Table13232[[#This Row],[Track]],$C$836:$E$882,2,FALSE)</f>
        <v>Vic</v>
      </c>
      <c r="K297" s="49">
        <v>100</v>
      </c>
      <c r="L297" s="45">
        <f>IF(Table13232[[#This Row],[Fin]]&lt;&gt;"1st","",Table13232[[#This Row],[Div]]*Table13232[[#This Row],[Lev Bet]])</f>
        <v>340</v>
      </c>
      <c r="M297" s="45">
        <f>IF(Table13232[[#This Row],[Lev Ret]]="",Table13232[[#This Row],[Lev Bet]]*-1,L297-K297)</f>
        <v>240</v>
      </c>
      <c r="N297" s="135">
        <v>100</v>
      </c>
      <c r="O297" s="135">
        <f>IF(Table13232[[#This Row],[Fin]]&lt;&gt;"1st","",Table13232[[#This Row],[Div]]*Table13232[[#This Row],[Nat and Combo Bet]])</f>
        <v>340</v>
      </c>
      <c r="P297" s="135">
        <f>IF(Table13232[[#This Row],[Lev Ret]]="",Table13232[[#This Row],[Nat and Combo Bet]]*-1,O297-N297)</f>
        <v>240</v>
      </c>
      <c r="Q297" s="50">
        <f t="shared" si="12"/>
        <v>1</v>
      </c>
      <c r="R297" s="50">
        <f>IF(AND(Q296=2,Q297=1),"",IF(Q297=2,(N297+N298)/2,IF(Table13232[[#This Row],[Dual Listing]]=1,Table13232[[#This Row],[Nat and Combo Bet]],11)))</f>
        <v>100</v>
      </c>
      <c r="S297" s="50">
        <f t="shared" si="13"/>
        <v>340</v>
      </c>
      <c r="T297" s="50">
        <f t="shared" si="14"/>
        <v>240</v>
      </c>
      <c r="U297" s="50" t="str">
        <f>IF(Table13232[[#This Row],[Date]]&lt;$U$4,"","Live")</f>
        <v/>
      </c>
      <c r="V297" s="45" t="str">
        <f>TEXT(Table13232[[#This Row],[Date]],"DDD")</f>
        <v>Sat</v>
      </c>
      <c r="W297" s="45" t="str">
        <f>PROPER(TRIM(Table13232[[#This Row],[Horse]]))</f>
        <v>Jimmy The Bear</v>
      </c>
    </row>
    <row r="298" spans="1:23" x14ac:dyDescent="0.25">
      <c r="A298" s="43">
        <v>45808</v>
      </c>
      <c r="B298" s="44">
        <v>0.61458333333333337</v>
      </c>
      <c r="C298" s="44" t="s">
        <v>34</v>
      </c>
      <c r="D298" s="45">
        <v>6</v>
      </c>
      <c r="E298" s="45">
        <v>1</v>
      </c>
      <c r="F298" s="46" t="s">
        <v>399</v>
      </c>
      <c r="G298" s="46"/>
      <c r="H298" s="47"/>
      <c r="I298" s="52" t="s">
        <v>297</v>
      </c>
      <c r="J298" s="45" t="str">
        <f>VLOOKUP(Table13232[[#This Row],[Track]],$C$836:$E$882,2,FALSE)</f>
        <v>Vic</v>
      </c>
      <c r="K298" s="49">
        <v>100</v>
      </c>
      <c r="L298" s="45" t="str">
        <f>IF(Table13232[[#This Row],[Fin]]&lt;&gt;"1st","",Table13232[[#This Row],[Div]]*Table13232[[#This Row],[Lev Bet]])</f>
        <v/>
      </c>
      <c r="M298" s="45">
        <f>IF(Table13232[[#This Row],[Lev Ret]]="",Table13232[[#This Row],[Lev Bet]]*-1,L298-K298)</f>
        <v>-100</v>
      </c>
      <c r="N298" s="135">
        <v>150</v>
      </c>
      <c r="O298" s="135" t="str">
        <f>IF(Table13232[[#This Row],[Fin]]&lt;&gt;"1st","",Table13232[[#This Row],[Div]]*Table13232[[#This Row],[Nat and Combo Bet]])</f>
        <v/>
      </c>
      <c r="P298" s="135">
        <f>IF(Table13232[[#This Row],[Lev Ret]]="",Table13232[[#This Row],[Nat and Combo Bet]]*-1,O298-N298)</f>
        <v>-150</v>
      </c>
      <c r="Q298" s="50">
        <f t="shared" si="12"/>
        <v>1</v>
      </c>
      <c r="R298" s="50">
        <f>IF(AND(Q297=2,Q298=1),"",IF(Q298=2,(N298+N299)/2,IF(Table13232[[#This Row],[Dual Listing]]=1,Table13232[[#This Row],[Nat and Combo Bet]],11)))</f>
        <v>150</v>
      </c>
      <c r="S298" s="50" t="str">
        <f t="shared" si="13"/>
        <v/>
      </c>
      <c r="T298" s="50">
        <f t="shared" si="14"/>
        <v>-150</v>
      </c>
      <c r="U298" s="50" t="str">
        <f>IF(Table13232[[#This Row],[Date]]&lt;$U$4,"","Live")</f>
        <v/>
      </c>
      <c r="V298" s="45" t="str">
        <f>TEXT(Table13232[[#This Row],[Date]],"DDD")</f>
        <v>Sat</v>
      </c>
      <c r="W298" s="45" t="str">
        <f>PROPER(TRIM(Table13232[[#This Row],[Horse]]))</f>
        <v>Oscar'S Fortune</v>
      </c>
    </row>
    <row r="299" spans="1:23" x14ac:dyDescent="0.25">
      <c r="A299" s="43">
        <v>45808</v>
      </c>
      <c r="B299" s="44">
        <v>0.66666666666666663</v>
      </c>
      <c r="C299" s="44" t="s">
        <v>34</v>
      </c>
      <c r="D299" s="45">
        <v>8</v>
      </c>
      <c r="E299" s="45">
        <v>7</v>
      </c>
      <c r="F299" s="46" t="s">
        <v>428</v>
      </c>
      <c r="G299" s="46" t="s">
        <v>21</v>
      </c>
      <c r="H299" s="47">
        <v>2.4500000000000002</v>
      </c>
      <c r="I299" s="52" t="s">
        <v>297</v>
      </c>
      <c r="J299" s="45" t="str">
        <f>VLOOKUP(Table13232[[#This Row],[Track]],$C$836:$E$882,2,FALSE)</f>
        <v>Vic</v>
      </c>
      <c r="K299" s="49">
        <v>100</v>
      </c>
      <c r="L299" s="45">
        <f>IF(Table13232[[#This Row],[Fin]]&lt;&gt;"1st","",Table13232[[#This Row],[Div]]*Table13232[[#This Row],[Lev Bet]])</f>
        <v>245.00000000000003</v>
      </c>
      <c r="M299" s="45">
        <f>IF(Table13232[[#This Row],[Lev Ret]]="",Table13232[[#This Row],[Lev Bet]]*-1,L299-K299)</f>
        <v>145.00000000000003</v>
      </c>
      <c r="N299" s="135">
        <v>200</v>
      </c>
      <c r="O299" s="135">
        <f>IF(Table13232[[#This Row],[Fin]]&lt;&gt;"1st","",Table13232[[#This Row],[Div]]*Table13232[[#This Row],[Nat and Combo Bet]])</f>
        <v>490.00000000000006</v>
      </c>
      <c r="P299" s="135">
        <f>IF(Table13232[[#This Row],[Lev Ret]]="",Table13232[[#This Row],[Nat and Combo Bet]]*-1,O299-N299)</f>
        <v>290.00000000000006</v>
      </c>
      <c r="Q299" s="50">
        <f t="shared" si="12"/>
        <v>1</v>
      </c>
      <c r="R299" s="50">
        <f>IF(AND(Q298=2,Q299=1),"",IF(Q299=2,(N299+N300)/2,IF(Table13232[[#This Row],[Dual Listing]]=1,Table13232[[#This Row],[Nat and Combo Bet]],11)))</f>
        <v>200</v>
      </c>
      <c r="S299" s="50">
        <f t="shared" si="13"/>
        <v>490.00000000000006</v>
      </c>
      <c r="T299" s="50">
        <f t="shared" si="14"/>
        <v>290.00000000000006</v>
      </c>
      <c r="U299" s="50" t="str">
        <f>IF(Table13232[[#This Row],[Date]]&lt;$U$4,"","Live")</f>
        <v/>
      </c>
      <c r="V299" s="45" t="str">
        <f>TEXT(Table13232[[#This Row],[Date]],"DDD")</f>
        <v>Sat</v>
      </c>
      <c r="W299" s="45" t="str">
        <f>PROPER(TRIM(Table13232[[#This Row],[Horse]]))</f>
        <v>Niance</v>
      </c>
    </row>
    <row r="300" spans="1:23" x14ac:dyDescent="0.25">
      <c r="A300" s="43">
        <v>45815</v>
      </c>
      <c r="B300" s="44">
        <v>0.4826388888888889</v>
      </c>
      <c r="C300" s="44" t="s">
        <v>13</v>
      </c>
      <c r="D300" s="45">
        <v>2</v>
      </c>
      <c r="E300" s="45">
        <v>1</v>
      </c>
      <c r="F300" s="46" t="s">
        <v>424</v>
      </c>
      <c r="G300" s="46"/>
      <c r="H300" s="47"/>
      <c r="I300" s="52" t="s">
        <v>297</v>
      </c>
      <c r="J300" s="45" t="str">
        <f>VLOOKUP(Table13232[[#This Row],[Track]],$C$836:$E$882,2,FALSE)</f>
        <v>NSW</v>
      </c>
      <c r="K300" s="49">
        <v>100</v>
      </c>
      <c r="L300" s="45" t="str">
        <f>IF(Table13232[[#This Row],[Fin]]&lt;&gt;"1st","",Table13232[[#This Row],[Div]]*Table13232[[#This Row],[Lev Bet]])</f>
        <v/>
      </c>
      <c r="M300" s="45">
        <f>IF(Table13232[[#This Row],[Lev Ret]]="",Table13232[[#This Row],[Lev Bet]]*-1,L300-K300)</f>
        <v>-100</v>
      </c>
      <c r="N300" s="135">
        <v>100</v>
      </c>
      <c r="O300" s="135" t="str">
        <f>IF(Table13232[[#This Row],[Fin]]&lt;&gt;"1st","",Table13232[[#This Row],[Div]]*Table13232[[#This Row],[Nat and Combo Bet]])</f>
        <v/>
      </c>
      <c r="P300" s="135">
        <f>IF(Table13232[[#This Row],[Lev Ret]]="",Table13232[[#This Row],[Nat and Combo Bet]]*-1,O300-N300)</f>
        <v>-100</v>
      </c>
      <c r="Q300" s="50">
        <f t="shared" si="12"/>
        <v>1</v>
      </c>
      <c r="R300" s="50">
        <f>IF(AND(Q299=2,Q300=1),"",IF(Q300=2,(N300+N301)/2,IF(Table13232[[#This Row],[Dual Listing]]=1,Table13232[[#This Row],[Nat and Combo Bet]],11)))</f>
        <v>100</v>
      </c>
      <c r="S300" s="50" t="str">
        <f t="shared" si="13"/>
        <v/>
      </c>
      <c r="T300" s="50">
        <f t="shared" si="14"/>
        <v>-100</v>
      </c>
      <c r="U300" s="50" t="str">
        <f>IF(Table13232[[#This Row],[Date]]&lt;$U$4,"","Live")</f>
        <v/>
      </c>
      <c r="V300" s="45" t="str">
        <f>TEXT(Table13232[[#This Row],[Date]],"DDD")</f>
        <v>Sat</v>
      </c>
      <c r="W300" s="45" t="str">
        <f>PROPER(TRIM(Table13232[[#This Row],[Horse]]))</f>
        <v>Jumeirah Beach</v>
      </c>
    </row>
    <row r="301" spans="1:23" x14ac:dyDescent="0.25">
      <c r="A301" s="43">
        <v>45815</v>
      </c>
      <c r="B301" s="44">
        <v>0.50694444444444442</v>
      </c>
      <c r="C301" s="44" t="s">
        <v>13</v>
      </c>
      <c r="D301" s="45">
        <v>3</v>
      </c>
      <c r="E301" s="45">
        <v>4</v>
      </c>
      <c r="F301" s="46" t="s">
        <v>156</v>
      </c>
      <c r="G301" s="46"/>
      <c r="H301" s="47"/>
      <c r="I301" s="52" t="s">
        <v>297</v>
      </c>
      <c r="J301" s="45" t="str">
        <f>VLOOKUP(Table13232[[#This Row],[Track]],$C$836:$E$882,2,FALSE)</f>
        <v>NSW</v>
      </c>
      <c r="K301" s="49">
        <v>100</v>
      </c>
      <c r="L301" s="45" t="str">
        <f>IF(Table13232[[#This Row],[Fin]]&lt;&gt;"1st","",Table13232[[#This Row],[Div]]*Table13232[[#This Row],[Lev Bet]])</f>
        <v/>
      </c>
      <c r="M301" s="45">
        <f>IF(Table13232[[#This Row],[Lev Ret]]="",Table13232[[#This Row],[Lev Bet]]*-1,L301-K301)</f>
        <v>-100</v>
      </c>
      <c r="N301" s="135">
        <v>200</v>
      </c>
      <c r="O301" s="135" t="str">
        <f>IF(Table13232[[#This Row],[Fin]]&lt;&gt;"1st","",Table13232[[#This Row],[Div]]*Table13232[[#This Row],[Nat and Combo Bet]])</f>
        <v/>
      </c>
      <c r="P301" s="135">
        <f>IF(Table13232[[#This Row],[Lev Ret]]="",Table13232[[#This Row],[Nat and Combo Bet]]*-1,O301-N301)</f>
        <v>-200</v>
      </c>
      <c r="Q301" s="50">
        <f t="shared" si="12"/>
        <v>1</v>
      </c>
      <c r="R301" s="50">
        <f>IF(AND(Q300=2,Q301=1),"",IF(Q301=2,(N301+N302)/2,IF(Table13232[[#This Row],[Dual Listing]]=1,Table13232[[#This Row],[Nat and Combo Bet]],11)))</f>
        <v>200</v>
      </c>
      <c r="S301" s="50" t="str">
        <f t="shared" si="13"/>
        <v/>
      </c>
      <c r="T301" s="50">
        <f t="shared" si="14"/>
        <v>-200</v>
      </c>
      <c r="U301" s="50" t="str">
        <f>IF(Table13232[[#This Row],[Date]]&lt;$U$4,"","Live")</f>
        <v/>
      </c>
      <c r="V301" s="45" t="str">
        <f>TEXT(Table13232[[#This Row],[Date]],"DDD")</f>
        <v>Sat</v>
      </c>
      <c r="W301" s="45" t="str">
        <f>PROPER(TRIM(Table13232[[#This Row],[Horse]]))</f>
        <v>Miss Kim Kar</v>
      </c>
    </row>
    <row r="302" spans="1:23" x14ac:dyDescent="0.25">
      <c r="A302" s="43">
        <v>45815</v>
      </c>
      <c r="B302" s="44">
        <v>0.56597222222222221</v>
      </c>
      <c r="C302" s="44" t="s">
        <v>10</v>
      </c>
      <c r="D302" s="45">
        <v>4</v>
      </c>
      <c r="E302" s="45">
        <v>4</v>
      </c>
      <c r="F302" s="46" t="s">
        <v>171</v>
      </c>
      <c r="G302" s="46" t="s">
        <v>23</v>
      </c>
      <c r="H302" s="47"/>
      <c r="I302" s="47" t="s">
        <v>298</v>
      </c>
      <c r="J302" s="45" t="str">
        <f>VLOOKUP(Table13232[[#This Row],[Track]],$C$836:$E$882,2,FALSE)</f>
        <v>Vic</v>
      </c>
      <c r="K302" s="49">
        <v>100</v>
      </c>
      <c r="L302" s="45" t="str">
        <f>IF(Table13232[[#This Row],[Fin]]&lt;&gt;"1st","",Table13232[[#This Row],[Div]]*Table13232[[#This Row],[Lev Bet]])</f>
        <v/>
      </c>
      <c r="M302" s="45">
        <f>IF(Table13232[[#This Row],[Lev Ret]]="",Table13232[[#This Row],[Lev Bet]]*-1,L302-K302)</f>
        <v>-100</v>
      </c>
      <c r="N302" s="135">
        <v>100</v>
      </c>
      <c r="O302" s="135" t="str">
        <f>IF(Table13232[[#This Row],[Fin]]&lt;&gt;"1st","",Table13232[[#This Row],[Div]]*Table13232[[#This Row],[Nat and Combo Bet]])</f>
        <v/>
      </c>
      <c r="P302" s="135">
        <f>IF(Table13232[[#This Row],[Lev Ret]]="",Table13232[[#This Row],[Nat and Combo Bet]]*-1,O302-N302)</f>
        <v>-100</v>
      </c>
      <c r="Q302" s="50">
        <f t="shared" si="12"/>
        <v>1</v>
      </c>
      <c r="R302" s="50">
        <f>IF(AND(Q301=2,Q302=1),"",IF(Q302=2,(N302+N303)/2,IF(Table13232[[#This Row],[Dual Listing]]=1,Table13232[[#This Row],[Nat and Combo Bet]],11)))</f>
        <v>100</v>
      </c>
      <c r="S302" s="50" t="str">
        <f t="shared" si="13"/>
        <v/>
      </c>
      <c r="T302" s="50">
        <f t="shared" si="14"/>
        <v>-100</v>
      </c>
      <c r="U302" s="50" t="str">
        <f>IF(Table13232[[#This Row],[Date]]&lt;$U$4,"","Live")</f>
        <v/>
      </c>
      <c r="V302" s="45" t="str">
        <f>TEXT(Table13232[[#This Row],[Date]],"DDD")</f>
        <v>Sat</v>
      </c>
      <c r="W302" s="45" t="str">
        <f>PROPER(TRIM(Table13232[[#This Row],[Horse]]))</f>
        <v>Soft Love</v>
      </c>
    </row>
    <row r="303" spans="1:23" x14ac:dyDescent="0.25">
      <c r="A303" s="43">
        <v>45815</v>
      </c>
      <c r="B303" s="44">
        <v>0.57986111111111116</v>
      </c>
      <c r="C303" s="44" t="s">
        <v>13</v>
      </c>
      <c r="D303" s="45">
        <v>6</v>
      </c>
      <c r="E303" s="45">
        <v>6</v>
      </c>
      <c r="F303" s="46" t="s">
        <v>90</v>
      </c>
      <c r="G303" s="46"/>
      <c r="H303" s="47"/>
      <c r="I303" s="52" t="s">
        <v>297</v>
      </c>
      <c r="J303" s="45" t="str">
        <f>VLOOKUP(Table13232[[#This Row],[Track]],$C$836:$E$882,2,FALSE)</f>
        <v>NSW</v>
      </c>
      <c r="K303" s="49">
        <v>100</v>
      </c>
      <c r="L303" s="45" t="str">
        <f>IF(Table13232[[#This Row],[Fin]]&lt;&gt;"1st","",Table13232[[#This Row],[Div]]*Table13232[[#This Row],[Lev Bet]])</f>
        <v/>
      </c>
      <c r="M303" s="45">
        <f>IF(Table13232[[#This Row],[Lev Ret]]="",Table13232[[#This Row],[Lev Bet]]*-1,L303-K303)</f>
        <v>-100</v>
      </c>
      <c r="N303" s="135">
        <v>150</v>
      </c>
      <c r="O303" s="135" t="str">
        <f>IF(Table13232[[#This Row],[Fin]]&lt;&gt;"1st","",Table13232[[#This Row],[Div]]*Table13232[[#This Row],[Nat and Combo Bet]])</f>
        <v/>
      </c>
      <c r="P303" s="135">
        <f>IF(Table13232[[#This Row],[Lev Ret]]="",Table13232[[#This Row],[Nat and Combo Bet]]*-1,O303-N303)</f>
        <v>-150</v>
      </c>
      <c r="Q303" s="50">
        <f t="shared" si="12"/>
        <v>1</v>
      </c>
      <c r="R303" s="50">
        <f>IF(AND(Q302=2,Q303=1),"",IF(Q303=2,(N303+N304)/2,IF(Table13232[[#This Row],[Dual Listing]]=1,Table13232[[#This Row],[Nat and Combo Bet]],11)))</f>
        <v>150</v>
      </c>
      <c r="S303" s="50" t="str">
        <f t="shared" si="13"/>
        <v/>
      </c>
      <c r="T303" s="50">
        <f t="shared" si="14"/>
        <v>-150</v>
      </c>
      <c r="U303" s="50" t="str">
        <f>IF(Table13232[[#This Row],[Date]]&lt;$U$4,"","Live")</f>
        <v/>
      </c>
      <c r="V303" s="45" t="str">
        <f>TEXT(Table13232[[#This Row],[Date]],"DDD")</f>
        <v>Sat</v>
      </c>
      <c r="W303" s="45" t="str">
        <f>PROPER(TRIM(Table13232[[#This Row],[Horse]]))</f>
        <v>Oh Diamond Lil</v>
      </c>
    </row>
    <row r="304" spans="1:23" x14ac:dyDescent="0.25">
      <c r="A304" s="43">
        <v>45815</v>
      </c>
      <c r="B304" s="44">
        <v>0.59027777777777779</v>
      </c>
      <c r="C304" s="44" t="s">
        <v>10</v>
      </c>
      <c r="D304" s="45">
        <v>5</v>
      </c>
      <c r="E304" s="45">
        <v>3</v>
      </c>
      <c r="F304" s="46" t="s">
        <v>172</v>
      </c>
      <c r="G304" s="46" t="s">
        <v>23</v>
      </c>
      <c r="H304" s="47"/>
      <c r="I304" s="47" t="s">
        <v>298</v>
      </c>
      <c r="J304" s="45" t="str">
        <f>VLOOKUP(Table13232[[#This Row],[Track]],$C$836:$E$882,2,FALSE)</f>
        <v>Vic</v>
      </c>
      <c r="K304" s="49">
        <v>100</v>
      </c>
      <c r="L304" s="45" t="str">
        <f>IF(Table13232[[#This Row],[Fin]]&lt;&gt;"1st","",Table13232[[#This Row],[Div]]*Table13232[[#This Row],[Lev Bet]])</f>
        <v/>
      </c>
      <c r="M304" s="45">
        <f>IF(Table13232[[#This Row],[Lev Ret]]="",Table13232[[#This Row],[Lev Bet]]*-1,L304-K304)</f>
        <v>-100</v>
      </c>
      <c r="N304" s="135">
        <v>100</v>
      </c>
      <c r="O304" s="135" t="str">
        <f>IF(Table13232[[#This Row],[Fin]]&lt;&gt;"1st","",Table13232[[#This Row],[Div]]*Table13232[[#This Row],[Nat and Combo Bet]])</f>
        <v/>
      </c>
      <c r="P304" s="135">
        <f>IF(Table13232[[#This Row],[Lev Ret]]="",Table13232[[#This Row],[Nat and Combo Bet]]*-1,O304-N304)</f>
        <v>-100</v>
      </c>
      <c r="Q304" s="50">
        <f t="shared" si="12"/>
        <v>1</v>
      </c>
      <c r="R304" s="50">
        <f>IF(AND(Q303=2,Q304=1),"",IF(Q304=2,(N304+N305)/2,IF(Table13232[[#This Row],[Dual Listing]]=1,Table13232[[#This Row],[Nat and Combo Bet]],11)))</f>
        <v>100</v>
      </c>
      <c r="S304" s="50" t="str">
        <f t="shared" si="13"/>
        <v/>
      </c>
      <c r="T304" s="50">
        <f t="shared" si="14"/>
        <v>-100</v>
      </c>
      <c r="U304" s="50" t="str">
        <f>IF(Table13232[[#This Row],[Date]]&lt;$U$4,"","Live")</f>
        <v/>
      </c>
      <c r="V304" s="45" t="str">
        <f>TEXT(Table13232[[#This Row],[Date]],"DDD")</f>
        <v>Sat</v>
      </c>
      <c r="W304" s="45" t="str">
        <f>PROPER(TRIM(Table13232[[#This Row],[Horse]]))</f>
        <v>Jimmy The Bear</v>
      </c>
    </row>
    <row r="305" spans="1:23" x14ac:dyDescent="0.25">
      <c r="A305" s="43">
        <v>45815</v>
      </c>
      <c r="B305" s="44">
        <v>0.60972222222222228</v>
      </c>
      <c r="C305" s="44" t="s">
        <v>12</v>
      </c>
      <c r="D305" s="45">
        <v>7</v>
      </c>
      <c r="E305" s="45">
        <v>10</v>
      </c>
      <c r="F305" s="46" t="s">
        <v>143</v>
      </c>
      <c r="G305" s="46" t="s">
        <v>21</v>
      </c>
      <c r="H305" s="47">
        <v>2.5</v>
      </c>
      <c r="I305" s="47" t="s">
        <v>298</v>
      </c>
      <c r="J305" s="45" t="str">
        <f>VLOOKUP(Table13232[[#This Row],[Track]],$C$836:$E$882,2,FALSE)</f>
        <v>Qld</v>
      </c>
      <c r="K305" s="49">
        <v>100</v>
      </c>
      <c r="L305" s="45">
        <f>IF(Table13232[[#This Row],[Fin]]&lt;&gt;"1st","",Table13232[[#This Row],[Div]]*Table13232[[#This Row],[Lev Bet]])</f>
        <v>250</v>
      </c>
      <c r="M305" s="45">
        <f>IF(Table13232[[#This Row],[Lev Ret]]="",Table13232[[#This Row],[Lev Bet]]*-1,L305-K305)</f>
        <v>150</v>
      </c>
      <c r="N305" s="135">
        <v>100</v>
      </c>
      <c r="O305" s="135">
        <f>IF(Table13232[[#This Row],[Fin]]&lt;&gt;"1st","",Table13232[[#This Row],[Div]]*Table13232[[#This Row],[Nat and Combo Bet]])</f>
        <v>250</v>
      </c>
      <c r="P305" s="135">
        <f>IF(Table13232[[#This Row],[Lev Ret]]="",Table13232[[#This Row],[Nat and Combo Bet]]*-1,O305-N305)</f>
        <v>150</v>
      </c>
      <c r="Q305" s="50">
        <f t="shared" si="12"/>
        <v>1</v>
      </c>
      <c r="R305" s="50">
        <f>IF(AND(Q304=2,Q305=1),"",IF(Q305=2,(N305+N306)/2,IF(Table13232[[#This Row],[Dual Listing]]=1,Table13232[[#This Row],[Nat and Combo Bet]],11)))</f>
        <v>100</v>
      </c>
      <c r="S305" s="50">
        <f t="shared" si="13"/>
        <v>250</v>
      </c>
      <c r="T305" s="50">
        <f t="shared" si="14"/>
        <v>150</v>
      </c>
      <c r="U305" s="50" t="str">
        <f>IF(Table13232[[#This Row],[Date]]&lt;$U$4,"","Live")</f>
        <v/>
      </c>
      <c r="V305" s="45" t="str">
        <f>TEXT(Table13232[[#This Row],[Date]],"DDD")</f>
        <v>Sat</v>
      </c>
      <c r="W305" s="45" t="str">
        <f>PROPER(TRIM(Table13232[[#This Row],[Horse]]))</f>
        <v>Joliestar</v>
      </c>
    </row>
    <row r="306" spans="1:23" x14ac:dyDescent="0.25">
      <c r="A306" s="43">
        <v>45815</v>
      </c>
      <c r="B306" s="44">
        <v>0.62847222222222221</v>
      </c>
      <c r="C306" s="44" t="s">
        <v>13</v>
      </c>
      <c r="D306" s="45">
        <v>8</v>
      </c>
      <c r="E306" s="45">
        <v>4</v>
      </c>
      <c r="F306" s="46" t="s">
        <v>50</v>
      </c>
      <c r="G306" s="46" t="s">
        <v>21</v>
      </c>
      <c r="H306" s="47">
        <v>2.6</v>
      </c>
      <c r="I306" s="52" t="s">
        <v>297</v>
      </c>
      <c r="J306" s="45" t="str">
        <f>VLOOKUP(Table13232[[#This Row],[Track]],$C$836:$E$882,2,FALSE)</f>
        <v>NSW</v>
      </c>
      <c r="K306" s="49">
        <v>100</v>
      </c>
      <c r="L306" s="45">
        <f>IF(Table13232[[#This Row],[Fin]]&lt;&gt;"1st","",Table13232[[#This Row],[Div]]*Table13232[[#This Row],[Lev Bet]])</f>
        <v>260</v>
      </c>
      <c r="M306" s="45">
        <f>IF(Table13232[[#This Row],[Lev Ret]]="",Table13232[[#This Row],[Lev Bet]]*-1,L306-K306)</f>
        <v>160</v>
      </c>
      <c r="N306" s="135">
        <v>200</v>
      </c>
      <c r="O306" s="135">
        <f>IF(Table13232[[#This Row],[Fin]]&lt;&gt;"1st","",Table13232[[#This Row],[Div]]*Table13232[[#This Row],[Nat and Combo Bet]])</f>
        <v>520</v>
      </c>
      <c r="P306" s="135">
        <f>IF(Table13232[[#This Row],[Lev Ret]]="",Table13232[[#This Row],[Nat and Combo Bet]]*-1,O306-N306)</f>
        <v>320</v>
      </c>
      <c r="Q306" s="50">
        <f t="shared" si="12"/>
        <v>1</v>
      </c>
      <c r="R306" s="50">
        <f>IF(AND(Q305=2,Q306=1),"",IF(Q306=2,(N306+N307)/2,IF(Table13232[[#This Row],[Dual Listing]]=1,Table13232[[#This Row],[Nat and Combo Bet]],11)))</f>
        <v>200</v>
      </c>
      <c r="S306" s="50">
        <f t="shared" si="13"/>
        <v>520</v>
      </c>
      <c r="T306" s="50">
        <f t="shared" si="14"/>
        <v>320</v>
      </c>
      <c r="U306" s="50" t="str">
        <f>IF(Table13232[[#This Row],[Date]]&lt;$U$4,"","Live")</f>
        <v/>
      </c>
      <c r="V306" s="45" t="str">
        <f>TEXT(Table13232[[#This Row],[Date]],"DDD")</f>
        <v>Sat</v>
      </c>
      <c r="W306" s="45" t="str">
        <f>PROPER(TRIM(Table13232[[#This Row],[Horse]]))</f>
        <v>In Flight</v>
      </c>
    </row>
    <row r="307" spans="1:23" x14ac:dyDescent="0.25">
      <c r="A307" s="43">
        <v>45815</v>
      </c>
      <c r="B307" s="44">
        <v>0.63888888888888884</v>
      </c>
      <c r="C307" s="44" t="s">
        <v>10</v>
      </c>
      <c r="D307" s="45">
        <v>7</v>
      </c>
      <c r="E307" s="45">
        <v>13</v>
      </c>
      <c r="F307" s="46" t="s">
        <v>429</v>
      </c>
      <c r="G307" s="46" t="s">
        <v>23</v>
      </c>
      <c r="H307" s="47"/>
      <c r="I307" s="52" t="s">
        <v>297</v>
      </c>
      <c r="J307" s="45" t="str">
        <f>VLOOKUP(Table13232[[#This Row],[Track]],$C$836:$E$882,2,FALSE)</f>
        <v>Vic</v>
      </c>
      <c r="K307" s="49">
        <v>100</v>
      </c>
      <c r="L307" s="45" t="str">
        <f>IF(Table13232[[#This Row],[Fin]]&lt;&gt;"1st","",Table13232[[#This Row],[Div]]*Table13232[[#This Row],[Lev Bet]])</f>
        <v/>
      </c>
      <c r="M307" s="45">
        <f>IF(Table13232[[#This Row],[Lev Ret]]="",Table13232[[#This Row],[Lev Bet]]*-1,L307-K307)</f>
        <v>-100</v>
      </c>
      <c r="N307" s="135">
        <v>150</v>
      </c>
      <c r="O307" s="135" t="str">
        <f>IF(Table13232[[#This Row],[Fin]]&lt;&gt;"1st","",Table13232[[#This Row],[Div]]*Table13232[[#This Row],[Nat and Combo Bet]])</f>
        <v/>
      </c>
      <c r="P307" s="135">
        <f>IF(Table13232[[#This Row],[Lev Ret]]="",Table13232[[#This Row],[Nat and Combo Bet]]*-1,O307-N307)</f>
        <v>-150</v>
      </c>
      <c r="Q307" s="50">
        <f t="shared" si="12"/>
        <v>1</v>
      </c>
      <c r="R307" s="50">
        <f>IF(AND(Q306=2,Q307=1),"",IF(Q307=2,(N307+N308)/2,IF(Table13232[[#This Row],[Dual Listing]]=1,Table13232[[#This Row],[Nat and Combo Bet]],11)))</f>
        <v>150</v>
      </c>
      <c r="S307" s="50" t="str">
        <f t="shared" si="13"/>
        <v/>
      </c>
      <c r="T307" s="50">
        <f t="shared" si="14"/>
        <v>-150</v>
      </c>
      <c r="U307" s="50" t="str">
        <f>IF(Table13232[[#This Row],[Date]]&lt;$U$4,"","Live")</f>
        <v/>
      </c>
      <c r="V307" s="45" t="str">
        <f>TEXT(Table13232[[#This Row],[Date]],"DDD")</f>
        <v>Sat</v>
      </c>
      <c r="W307" s="45" t="str">
        <f>PROPER(TRIM(Table13232[[#This Row],[Horse]]))</f>
        <v>Liberami</v>
      </c>
    </row>
    <row r="308" spans="1:23" x14ac:dyDescent="0.25">
      <c r="A308" s="43">
        <v>45815</v>
      </c>
      <c r="B308" s="44">
        <v>0.65277777777777779</v>
      </c>
      <c r="C308" s="44" t="s">
        <v>13</v>
      </c>
      <c r="D308" s="45">
        <v>9</v>
      </c>
      <c r="E308" s="45">
        <v>2</v>
      </c>
      <c r="F308" s="46" t="s">
        <v>40</v>
      </c>
      <c r="G308" s="46"/>
      <c r="H308" s="47"/>
      <c r="I308" s="52" t="s">
        <v>297</v>
      </c>
      <c r="J308" s="45" t="str">
        <f>VLOOKUP(Table13232[[#This Row],[Track]],$C$836:$E$882,2,FALSE)</f>
        <v>NSW</v>
      </c>
      <c r="K308" s="49">
        <v>100</v>
      </c>
      <c r="L308" s="45" t="str">
        <f>IF(Table13232[[#This Row],[Fin]]&lt;&gt;"1st","",Table13232[[#This Row],[Div]]*Table13232[[#This Row],[Lev Bet]])</f>
        <v/>
      </c>
      <c r="M308" s="45">
        <f>IF(Table13232[[#This Row],[Lev Ret]]="",Table13232[[#This Row],[Lev Bet]]*-1,L308-K308)</f>
        <v>-100</v>
      </c>
      <c r="N308" s="135">
        <v>100</v>
      </c>
      <c r="O308" s="135" t="str">
        <f>IF(Table13232[[#This Row],[Fin]]&lt;&gt;"1st","",Table13232[[#This Row],[Div]]*Table13232[[#This Row],[Nat and Combo Bet]])</f>
        <v/>
      </c>
      <c r="P308" s="135">
        <f>IF(Table13232[[#This Row],[Lev Ret]]="",Table13232[[#This Row],[Nat and Combo Bet]]*-1,O308-N308)</f>
        <v>-100</v>
      </c>
      <c r="Q308" s="50">
        <f t="shared" si="12"/>
        <v>1</v>
      </c>
      <c r="R308" s="50">
        <f>IF(AND(Q307=2,Q308=1),"",IF(Q308=2,(N308+N309)/2,IF(Table13232[[#This Row],[Dual Listing]]=1,Table13232[[#This Row],[Nat and Combo Bet]],11)))</f>
        <v>100</v>
      </c>
      <c r="S308" s="50" t="str">
        <f t="shared" si="13"/>
        <v/>
      </c>
      <c r="T308" s="50">
        <f t="shared" si="14"/>
        <v>-100</v>
      </c>
      <c r="U308" s="50" t="str">
        <f>IF(Table13232[[#This Row],[Date]]&lt;$U$4,"","Live")</f>
        <v/>
      </c>
      <c r="V308" s="45" t="str">
        <f>TEXT(Table13232[[#This Row],[Date]],"DDD")</f>
        <v>Sat</v>
      </c>
      <c r="W308" s="45" t="str">
        <f>PROPER(TRIM(Table13232[[#This Row],[Horse]]))</f>
        <v>Whinchat</v>
      </c>
    </row>
    <row r="309" spans="1:23" x14ac:dyDescent="0.25">
      <c r="A309" s="43">
        <v>45815</v>
      </c>
      <c r="B309" s="44">
        <v>0.68055555555555558</v>
      </c>
      <c r="C309" s="44" t="s">
        <v>13</v>
      </c>
      <c r="D309" s="45">
        <v>10</v>
      </c>
      <c r="E309" s="45">
        <v>4</v>
      </c>
      <c r="F309" s="46" t="s">
        <v>430</v>
      </c>
      <c r="G309" s="46" t="s">
        <v>21</v>
      </c>
      <c r="H309" s="47">
        <v>3.7</v>
      </c>
      <c r="I309" s="52" t="s">
        <v>297</v>
      </c>
      <c r="J309" s="45" t="str">
        <f>VLOOKUP(Table13232[[#This Row],[Track]],$C$836:$E$882,2,FALSE)</f>
        <v>NSW</v>
      </c>
      <c r="K309" s="49">
        <v>100</v>
      </c>
      <c r="L309" s="45">
        <f>IF(Table13232[[#This Row],[Fin]]&lt;&gt;"1st","",Table13232[[#This Row],[Div]]*Table13232[[#This Row],[Lev Bet]])</f>
        <v>370</v>
      </c>
      <c r="M309" s="45">
        <f>IF(Table13232[[#This Row],[Lev Ret]]="",Table13232[[#This Row],[Lev Bet]]*-1,L309-K309)</f>
        <v>270</v>
      </c>
      <c r="N309" s="135">
        <v>150</v>
      </c>
      <c r="O309" s="135">
        <f>IF(Table13232[[#This Row],[Fin]]&lt;&gt;"1st","",Table13232[[#This Row],[Div]]*Table13232[[#This Row],[Nat and Combo Bet]])</f>
        <v>555</v>
      </c>
      <c r="P309" s="135">
        <f>IF(Table13232[[#This Row],[Lev Ret]]="",Table13232[[#This Row],[Nat and Combo Bet]]*-1,O309-N309)</f>
        <v>405</v>
      </c>
      <c r="Q309" s="50">
        <f t="shared" si="12"/>
        <v>1</v>
      </c>
      <c r="R309" s="50">
        <f>IF(AND(Q308=2,Q309=1),"",IF(Q309=2,(N309+N310)/2,IF(Table13232[[#This Row],[Dual Listing]]=1,Table13232[[#This Row],[Nat and Combo Bet]],11)))</f>
        <v>150</v>
      </c>
      <c r="S309" s="50">
        <f t="shared" si="13"/>
        <v>555</v>
      </c>
      <c r="T309" s="50">
        <f t="shared" si="14"/>
        <v>405</v>
      </c>
      <c r="U309" s="50" t="str">
        <f>IF(Table13232[[#This Row],[Date]]&lt;$U$4,"","Live")</f>
        <v/>
      </c>
      <c r="V309" s="45" t="str">
        <f>TEXT(Table13232[[#This Row],[Date]],"DDD")</f>
        <v>Sat</v>
      </c>
      <c r="W309" s="45" t="str">
        <f>PROPER(TRIM(Table13232[[#This Row],[Horse]]))</f>
        <v>Storm The Ramparts</v>
      </c>
    </row>
    <row r="310" spans="1:23" x14ac:dyDescent="0.25">
      <c r="A310" s="43">
        <v>45822</v>
      </c>
      <c r="B310" s="44">
        <v>0.51249999999999996</v>
      </c>
      <c r="C310" s="44" t="s">
        <v>12</v>
      </c>
      <c r="D310" s="45">
        <v>2</v>
      </c>
      <c r="E310" s="45">
        <v>11</v>
      </c>
      <c r="F310" s="46" t="s">
        <v>159</v>
      </c>
      <c r="G310" s="46"/>
      <c r="H310" s="47"/>
      <c r="I310" s="47" t="s">
        <v>298</v>
      </c>
      <c r="J310" s="45" t="str">
        <f>VLOOKUP(Table13232[[#This Row],[Track]],$C$836:$E$882,2,FALSE)</f>
        <v>Qld</v>
      </c>
      <c r="K310" s="49">
        <v>100</v>
      </c>
      <c r="L310" s="45" t="str">
        <f>IF(Table13232[[#This Row],[Fin]]&lt;&gt;"1st","",Table13232[[#This Row],[Div]]*Table13232[[#This Row],[Lev Bet]])</f>
        <v/>
      </c>
      <c r="M310" s="45">
        <f>IF(Table13232[[#This Row],[Lev Ret]]="",Table13232[[#This Row],[Lev Bet]]*-1,L310-K310)</f>
        <v>-100</v>
      </c>
      <c r="N310" s="135">
        <v>100</v>
      </c>
      <c r="O310" s="135" t="str">
        <f>IF(Table13232[[#This Row],[Fin]]&lt;&gt;"1st","",Table13232[[#This Row],[Div]]*Table13232[[#This Row],[Nat and Combo Bet]])</f>
        <v/>
      </c>
      <c r="P310" s="135">
        <f>IF(Table13232[[#This Row],[Lev Ret]]="",Table13232[[#This Row],[Nat and Combo Bet]]*-1,O310-N310)</f>
        <v>-100</v>
      </c>
      <c r="Q310" s="50">
        <f t="shared" si="12"/>
        <v>1</v>
      </c>
      <c r="R310" s="50">
        <f>IF(AND(Q309=2,Q310=1),"",IF(Q310=2,(N310+N311)/2,IF(Table13232[[#This Row],[Dual Listing]]=1,Table13232[[#This Row],[Nat and Combo Bet]],11)))</f>
        <v>100</v>
      </c>
      <c r="S310" s="50" t="str">
        <f t="shared" si="13"/>
        <v/>
      </c>
      <c r="T310" s="50">
        <f t="shared" si="14"/>
        <v>-100</v>
      </c>
      <c r="U310" s="50" t="str">
        <f>IF(Table13232[[#This Row],[Date]]&lt;$U$4,"","Live")</f>
        <v/>
      </c>
      <c r="V310" s="45" t="str">
        <f>TEXT(Table13232[[#This Row],[Date]],"DDD")</f>
        <v>Sat</v>
      </c>
      <c r="W310" s="45" t="str">
        <f>PROPER(TRIM(Table13232[[#This Row],[Horse]]))</f>
        <v>Demon Darb</v>
      </c>
    </row>
    <row r="311" spans="1:23" x14ac:dyDescent="0.25">
      <c r="A311" s="43">
        <v>45822</v>
      </c>
      <c r="B311" s="44">
        <v>0.53680555555555554</v>
      </c>
      <c r="C311" s="44" t="s">
        <v>12</v>
      </c>
      <c r="D311" s="45">
        <v>3</v>
      </c>
      <c r="E311" s="45">
        <v>4</v>
      </c>
      <c r="F311" s="46" t="s">
        <v>173</v>
      </c>
      <c r="G311" s="46" t="s">
        <v>21</v>
      </c>
      <c r="H311" s="47">
        <v>3.1</v>
      </c>
      <c r="I311" s="47" t="s">
        <v>298</v>
      </c>
      <c r="J311" s="45" t="str">
        <f>VLOOKUP(Table13232[[#This Row],[Track]],$C$836:$E$882,2,FALSE)</f>
        <v>Qld</v>
      </c>
      <c r="K311" s="49">
        <v>100</v>
      </c>
      <c r="L311" s="45">
        <f>IF(Table13232[[#This Row],[Fin]]&lt;&gt;"1st","",Table13232[[#This Row],[Div]]*Table13232[[#This Row],[Lev Bet]])</f>
        <v>310</v>
      </c>
      <c r="M311" s="45">
        <f>IF(Table13232[[#This Row],[Lev Ret]]="",Table13232[[#This Row],[Lev Bet]]*-1,L311-K311)</f>
        <v>210</v>
      </c>
      <c r="N311" s="135">
        <v>100</v>
      </c>
      <c r="O311" s="135">
        <f>IF(Table13232[[#This Row],[Fin]]&lt;&gt;"1st","",Table13232[[#This Row],[Div]]*Table13232[[#This Row],[Nat and Combo Bet]])</f>
        <v>310</v>
      </c>
      <c r="P311" s="135">
        <f>IF(Table13232[[#This Row],[Lev Ret]]="",Table13232[[#This Row],[Nat and Combo Bet]]*-1,O311-N311)</f>
        <v>210</v>
      </c>
      <c r="Q311" s="50">
        <f t="shared" si="12"/>
        <v>1</v>
      </c>
      <c r="R311" s="50">
        <f>IF(AND(Q310=2,Q311=1),"",IF(Q311=2,(N311+N312)/2,IF(Table13232[[#This Row],[Dual Listing]]=1,Table13232[[#This Row],[Nat and Combo Bet]],11)))</f>
        <v>100</v>
      </c>
      <c r="S311" s="50">
        <f t="shared" si="13"/>
        <v>310</v>
      </c>
      <c r="T311" s="50">
        <f t="shared" si="14"/>
        <v>210</v>
      </c>
      <c r="U311" s="50" t="str">
        <f>IF(Table13232[[#This Row],[Date]]&lt;$U$4,"","Live")</f>
        <v/>
      </c>
      <c r="V311" s="45" t="str">
        <f>TEXT(Table13232[[#This Row],[Date]],"DDD")</f>
        <v>Sat</v>
      </c>
      <c r="W311" s="45" t="str">
        <f>PROPER(TRIM(Table13232[[#This Row],[Horse]]))</f>
        <v>Campaldino</v>
      </c>
    </row>
    <row r="312" spans="1:23" x14ac:dyDescent="0.25">
      <c r="A312" s="43">
        <v>45822</v>
      </c>
      <c r="B312" s="44">
        <v>0.54166666666666663</v>
      </c>
      <c r="C312" s="44" t="s">
        <v>15</v>
      </c>
      <c r="D312" s="45">
        <v>3</v>
      </c>
      <c r="E312" s="45">
        <v>8</v>
      </c>
      <c r="F312" s="46" t="s">
        <v>174</v>
      </c>
      <c r="G312" s="46"/>
      <c r="H312" s="47"/>
      <c r="I312" s="47" t="s">
        <v>298</v>
      </c>
      <c r="J312" s="45" t="str">
        <f>VLOOKUP(Table13232[[#This Row],[Track]],$C$836:$E$882,2,FALSE)</f>
        <v>Vic</v>
      </c>
      <c r="K312" s="49">
        <v>100</v>
      </c>
      <c r="L312" s="45" t="str">
        <f>IF(Table13232[[#This Row],[Fin]]&lt;&gt;"1st","",Table13232[[#This Row],[Div]]*Table13232[[#This Row],[Lev Bet]])</f>
        <v/>
      </c>
      <c r="M312" s="45">
        <f>IF(Table13232[[#This Row],[Lev Ret]]="",Table13232[[#This Row],[Lev Bet]]*-1,L312-K312)</f>
        <v>-100</v>
      </c>
      <c r="N312" s="135">
        <v>100</v>
      </c>
      <c r="O312" s="135" t="str">
        <f>IF(Table13232[[#This Row],[Fin]]&lt;&gt;"1st","",Table13232[[#This Row],[Div]]*Table13232[[#This Row],[Nat and Combo Bet]])</f>
        <v/>
      </c>
      <c r="P312" s="135">
        <f>IF(Table13232[[#This Row],[Lev Ret]]="",Table13232[[#This Row],[Nat and Combo Bet]]*-1,O312-N312)</f>
        <v>-100</v>
      </c>
      <c r="Q312" s="50">
        <f t="shared" si="12"/>
        <v>1</v>
      </c>
      <c r="R312" s="50">
        <f>IF(AND(Q311=2,Q312=1),"",IF(Q312=2,(N312+N313)/2,IF(Table13232[[#This Row],[Dual Listing]]=1,Table13232[[#This Row],[Nat and Combo Bet]],11)))</f>
        <v>100</v>
      </c>
      <c r="S312" s="50" t="str">
        <f t="shared" si="13"/>
        <v/>
      </c>
      <c r="T312" s="50">
        <f t="shared" si="14"/>
        <v>-100</v>
      </c>
      <c r="U312" s="50" t="str">
        <f>IF(Table13232[[#This Row],[Date]]&lt;$U$4,"","Live")</f>
        <v/>
      </c>
      <c r="V312" s="45" t="str">
        <f>TEXT(Table13232[[#This Row],[Date]],"DDD")</f>
        <v>Sat</v>
      </c>
      <c r="W312" s="45" t="str">
        <f>PROPER(TRIM(Table13232[[#This Row],[Horse]]))</f>
        <v>Ahha Ahha</v>
      </c>
    </row>
    <row r="313" spans="1:23" x14ac:dyDescent="0.25">
      <c r="A313" s="43">
        <v>45822</v>
      </c>
      <c r="B313" s="44">
        <v>0.57986111111111116</v>
      </c>
      <c r="C313" s="44" t="s">
        <v>11</v>
      </c>
      <c r="D313" s="45">
        <v>6</v>
      </c>
      <c r="E313" s="45">
        <v>5</v>
      </c>
      <c r="F313" s="46" t="s">
        <v>431</v>
      </c>
      <c r="G313" s="46" t="s">
        <v>21</v>
      </c>
      <c r="H313" s="47">
        <v>3.4</v>
      </c>
      <c r="I313" s="52" t="s">
        <v>297</v>
      </c>
      <c r="J313" s="45" t="str">
        <f>VLOOKUP(Table13232[[#This Row],[Track]],$C$836:$E$882,2,FALSE)</f>
        <v>NSW</v>
      </c>
      <c r="K313" s="49">
        <v>100</v>
      </c>
      <c r="L313" s="45">
        <f>IF(Table13232[[#This Row],[Fin]]&lt;&gt;"1st","",Table13232[[#This Row],[Div]]*Table13232[[#This Row],[Lev Bet]])</f>
        <v>340</v>
      </c>
      <c r="M313" s="45">
        <f>IF(Table13232[[#This Row],[Lev Ret]]="",Table13232[[#This Row],[Lev Bet]]*-1,L313-K313)</f>
        <v>240</v>
      </c>
      <c r="N313" s="135">
        <v>150</v>
      </c>
      <c r="O313" s="135">
        <f>IF(Table13232[[#This Row],[Fin]]&lt;&gt;"1st","",Table13232[[#This Row],[Div]]*Table13232[[#This Row],[Nat and Combo Bet]])</f>
        <v>510</v>
      </c>
      <c r="P313" s="135">
        <f>IF(Table13232[[#This Row],[Lev Ret]]="",Table13232[[#This Row],[Nat and Combo Bet]]*-1,O313-N313)</f>
        <v>360</v>
      </c>
      <c r="Q313" s="50">
        <f t="shared" si="12"/>
        <v>1</v>
      </c>
      <c r="R313" s="50">
        <f>IF(AND(Q312=2,Q313=1),"",IF(Q313=2,(N313+N314)/2,IF(Table13232[[#This Row],[Dual Listing]]=1,Table13232[[#This Row],[Nat and Combo Bet]],11)))</f>
        <v>150</v>
      </c>
      <c r="S313" s="50">
        <f t="shared" si="13"/>
        <v>510</v>
      </c>
      <c r="T313" s="50">
        <f t="shared" si="14"/>
        <v>360</v>
      </c>
      <c r="U313" s="50" t="str">
        <f>IF(Table13232[[#This Row],[Date]]&lt;$U$4,"","Live")</f>
        <v/>
      </c>
      <c r="V313" s="45" t="str">
        <f>TEXT(Table13232[[#This Row],[Date]],"DDD")</f>
        <v>Sat</v>
      </c>
      <c r="W313" s="45" t="str">
        <f>PROPER(TRIM(Table13232[[#This Row],[Horse]]))</f>
        <v>Mickey'S Medal</v>
      </c>
    </row>
    <row r="314" spans="1:23" x14ac:dyDescent="0.25">
      <c r="A314" s="43">
        <v>45822</v>
      </c>
      <c r="B314" s="44">
        <v>0.5854166666666667</v>
      </c>
      <c r="C314" s="44" t="s">
        <v>12</v>
      </c>
      <c r="D314" s="45">
        <v>5</v>
      </c>
      <c r="E314" s="45">
        <v>7</v>
      </c>
      <c r="F314" s="46" t="s">
        <v>175</v>
      </c>
      <c r="G314" s="46" t="s">
        <v>23</v>
      </c>
      <c r="H314" s="47"/>
      <c r="I314" s="47" t="s">
        <v>298</v>
      </c>
      <c r="J314" s="45" t="str">
        <f>VLOOKUP(Table13232[[#This Row],[Track]],$C$836:$E$882,2,FALSE)</f>
        <v>Qld</v>
      </c>
      <c r="K314" s="49">
        <v>100</v>
      </c>
      <c r="L314" s="45" t="str">
        <f>IF(Table13232[[#This Row],[Fin]]&lt;&gt;"1st","",Table13232[[#This Row],[Div]]*Table13232[[#This Row],[Lev Bet]])</f>
        <v/>
      </c>
      <c r="M314" s="45">
        <f>IF(Table13232[[#This Row],[Lev Ret]]="",Table13232[[#This Row],[Lev Bet]]*-1,L314-K314)</f>
        <v>-100</v>
      </c>
      <c r="N314" s="135">
        <v>100</v>
      </c>
      <c r="O314" s="135" t="str">
        <f>IF(Table13232[[#This Row],[Fin]]&lt;&gt;"1st","",Table13232[[#This Row],[Div]]*Table13232[[#This Row],[Nat and Combo Bet]])</f>
        <v/>
      </c>
      <c r="P314" s="135">
        <f>IF(Table13232[[#This Row],[Lev Ret]]="",Table13232[[#This Row],[Nat and Combo Bet]]*-1,O314-N314)</f>
        <v>-100</v>
      </c>
      <c r="Q314" s="50">
        <f t="shared" si="12"/>
        <v>1</v>
      </c>
      <c r="R314" s="50">
        <f>IF(AND(Q313=2,Q314=1),"",IF(Q314=2,(N314+N315)/2,IF(Table13232[[#This Row],[Dual Listing]]=1,Table13232[[#This Row],[Nat and Combo Bet]],11)))</f>
        <v>100</v>
      </c>
      <c r="S314" s="50" t="str">
        <f t="shared" si="13"/>
        <v/>
      </c>
      <c r="T314" s="50">
        <f t="shared" si="14"/>
        <v>-100</v>
      </c>
      <c r="U314" s="50" t="str">
        <f>IF(Table13232[[#This Row],[Date]]&lt;$U$4,"","Live")</f>
        <v/>
      </c>
      <c r="V314" s="45" t="str">
        <f>TEXT(Table13232[[#This Row],[Date]],"DDD")</f>
        <v>Sat</v>
      </c>
      <c r="W314" s="45" t="str">
        <f>PROPER(TRIM(Table13232[[#This Row],[Horse]]))</f>
        <v>Need Some Luck</v>
      </c>
    </row>
    <row r="315" spans="1:23" x14ac:dyDescent="0.25">
      <c r="A315" s="43">
        <v>45822</v>
      </c>
      <c r="B315" s="44">
        <v>0.59027777777777779</v>
      </c>
      <c r="C315" s="44" t="s">
        <v>15</v>
      </c>
      <c r="D315" s="45">
        <v>5</v>
      </c>
      <c r="E315" s="45">
        <v>4</v>
      </c>
      <c r="F315" s="46" t="s">
        <v>176</v>
      </c>
      <c r="G315" s="46"/>
      <c r="H315" s="47"/>
      <c r="I315" s="47" t="s">
        <v>298</v>
      </c>
      <c r="J315" s="45" t="str">
        <f>VLOOKUP(Table13232[[#This Row],[Track]],$C$836:$E$882,2,FALSE)</f>
        <v>Vic</v>
      </c>
      <c r="K315" s="49">
        <v>100</v>
      </c>
      <c r="L315" s="45" t="str">
        <f>IF(Table13232[[#This Row],[Fin]]&lt;&gt;"1st","",Table13232[[#This Row],[Div]]*Table13232[[#This Row],[Lev Bet]])</f>
        <v/>
      </c>
      <c r="M315" s="45">
        <f>IF(Table13232[[#This Row],[Lev Ret]]="",Table13232[[#This Row],[Lev Bet]]*-1,L315-K315)</f>
        <v>-100</v>
      </c>
      <c r="N315" s="135">
        <v>100</v>
      </c>
      <c r="O315" s="135" t="str">
        <f>IF(Table13232[[#This Row],[Fin]]&lt;&gt;"1st","",Table13232[[#This Row],[Div]]*Table13232[[#This Row],[Nat and Combo Bet]])</f>
        <v/>
      </c>
      <c r="P315" s="135">
        <f>IF(Table13232[[#This Row],[Lev Ret]]="",Table13232[[#This Row],[Nat and Combo Bet]]*-1,O315-N315)</f>
        <v>-100</v>
      </c>
      <c r="Q315" s="50">
        <f t="shared" si="12"/>
        <v>1</v>
      </c>
      <c r="R315" s="50">
        <f>IF(AND(Q314=2,Q315=1),"",IF(Q315=2,(N315+N316)/2,IF(Table13232[[#This Row],[Dual Listing]]=1,Table13232[[#This Row],[Nat and Combo Bet]],11)))</f>
        <v>100</v>
      </c>
      <c r="S315" s="50" t="str">
        <f t="shared" si="13"/>
        <v/>
      </c>
      <c r="T315" s="50">
        <f t="shared" si="14"/>
        <v>-100</v>
      </c>
      <c r="U315" s="50" t="str">
        <f>IF(Table13232[[#This Row],[Date]]&lt;$U$4,"","Live")</f>
        <v/>
      </c>
      <c r="V315" s="45" t="str">
        <f>TEXT(Table13232[[#This Row],[Date]],"DDD")</f>
        <v>Sat</v>
      </c>
      <c r="W315" s="45" t="str">
        <f>PROPER(TRIM(Table13232[[#This Row],[Horse]]))</f>
        <v>Make It Sweet</v>
      </c>
    </row>
    <row r="316" spans="1:23" x14ac:dyDescent="0.25">
      <c r="A316" s="43">
        <v>45822</v>
      </c>
      <c r="B316" s="44">
        <v>0.60416666666666663</v>
      </c>
      <c r="C316" s="44" t="s">
        <v>11</v>
      </c>
      <c r="D316" s="45">
        <v>7</v>
      </c>
      <c r="E316" s="45">
        <v>11</v>
      </c>
      <c r="F316" s="46" t="s">
        <v>189</v>
      </c>
      <c r="G316" s="46" t="s">
        <v>23</v>
      </c>
      <c r="H316" s="47"/>
      <c r="I316" s="52" t="s">
        <v>297</v>
      </c>
      <c r="J316" s="45" t="str">
        <f>VLOOKUP(Table13232[[#This Row],[Track]],$C$836:$E$882,2,FALSE)</f>
        <v>NSW</v>
      </c>
      <c r="K316" s="49">
        <v>100</v>
      </c>
      <c r="L316" s="45" t="str">
        <f>IF(Table13232[[#This Row],[Fin]]&lt;&gt;"1st","",Table13232[[#This Row],[Div]]*Table13232[[#This Row],[Lev Bet]])</f>
        <v/>
      </c>
      <c r="M316" s="45">
        <f>IF(Table13232[[#This Row],[Lev Ret]]="",Table13232[[#This Row],[Lev Bet]]*-1,L316-K316)</f>
        <v>-100</v>
      </c>
      <c r="N316" s="135">
        <v>150</v>
      </c>
      <c r="O316" s="135" t="str">
        <f>IF(Table13232[[#This Row],[Fin]]&lt;&gt;"1st","",Table13232[[#This Row],[Div]]*Table13232[[#This Row],[Nat and Combo Bet]])</f>
        <v/>
      </c>
      <c r="P316" s="135">
        <f>IF(Table13232[[#This Row],[Lev Ret]]="",Table13232[[#This Row],[Nat and Combo Bet]]*-1,O316-N316)</f>
        <v>-150</v>
      </c>
      <c r="Q316" s="50">
        <f t="shared" si="12"/>
        <v>1</v>
      </c>
      <c r="R316" s="50">
        <f>IF(AND(Q315=2,Q316=1),"",IF(Q316=2,(N316+N317)/2,IF(Table13232[[#This Row],[Dual Listing]]=1,Table13232[[#This Row],[Nat and Combo Bet]],11)))</f>
        <v>150</v>
      </c>
      <c r="S316" s="50" t="str">
        <f t="shared" si="13"/>
        <v/>
      </c>
      <c r="T316" s="50">
        <f t="shared" si="14"/>
        <v>-150</v>
      </c>
      <c r="U316" s="50" t="str">
        <f>IF(Table13232[[#This Row],[Date]]&lt;$U$4,"","Live")</f>
        <v/>
      </c>
      <c r="V316" s="45" t="str">
        <f>TEXT(Table13232[[#This Row],[Date]],"DDD")</f>
        <v>Sat</v>
      </c>
      <c r="W316" s="45" t="str">
        <f>PROPER(TRIM(Table13232[[#This Row],[Horse]]))</f>
        <v>Snack Bar</v>
      </c>
    </row>
    <row r="317" spans="1:23" x14ac:dyDescent="0.25">
      <c r="A317" s="43">
        <v>45822</v>
      </c>
      <c r="B317" s="44">
        <v>0.61458333333333337</v>
      </c>
      <c r="C317" s="44" t="s">
        <v>15</v>
      </c>
      <c r="D317" s="45">
        <v>6</v>
      </c>
      <c r="E317" s="45">
        <v>5</v>
      </c>
      <c r="F317" s="46" t="s">
        <v>177</v>
      </c>
      <c r="G317" s="46"/>
      <c r="H317" s="47"/>
      <c r="I317" s="47" t="s">
        <v>298</v>
      </c>
      <c r="J317" s="45" t="str">
        <f>VLOOKUP(Table13232[[#This Row],[Track]],$C$836:$E$882,2,FALSE)</f>
        <v>Vic</v>
      </c>
      <c r="K317" s="49">
        <v>100</v>
      </c>
      <c r="L317" s="45" t="str">
        <f>IF(Table13232[[#This Row],[Fin]]&lt;&gt;"1st","",Table13232[[#This Row],[Div]]*Table13232[[#This Row],[Lev Bet]])</f>
        <v/>
      </c>
      <c r="M317" s="45">
        <f>IF(Table13232[[#This Row],[Lev Ret]]="",Table13232[[#This Row],[Lev Bet]]*-1,L317-K317)</f>
        <v>-100</v>
      </c>
      <c r="N317" s="135">
        <v>100</v>
      </c>
      <c r="O317" s="135" t="str">
        <f>IF(Table13232[[#This Row],[Fin]]&lt;&gt;"1st","",Table13232[[#This Row],[Div]]*Table13232[[#This Row],[Nat and Combo Bet]])</f>
        <v/>
      </c>
      <c r="P317" s="135">
        <f>IF(Table13232[[#This Row],[Lev Ret]]="",Table13232[[#This Row],[Nat and Combo Bet]]*-1,O317-N317)</f>
        <v>-100</v>
      </c>
      <c r="Q317" s="50">
        <f t="shared" si="12"/>
        <v>1</v>
      </c>
      <c r="R317" s="50">
        <f>IF(AND(Q316=2,Q317=1),"",IF(Q317=2,(N317+N318)/2,IF(Table13232[[#This Row],[Dual Listing]]=1,Table13232[[#This Row],[Nat and Combo Bet]],11)))</f>
        <v>100</v>
      </c>
      <c r="S317" s="50" t="str">
        <f t="shared" si="13"/>
        <v/>
      </c>
      <c r="T317" s="50">
        <f t="shared" si="14"/>
        <v>-100</v>
      </c>
      <c r="U317" s="50" t="str">
        <f>IF(Table13232[[#This Row],[Date]]&lt;$U$4,"","Live")</f>
        <v/>
      </c>
      <c r="V317" s="45" t="str">
        <f>TEXT(Table13232[[#This Row],[Date]],"DDD")</f>
        <v>Sat</v>
      </c>
      <c r="W317" s="45" t="str">
        <f>PROPER(TRIM(Table13232[[#This Row],[Horse]]))</f>
        <v>Roadcone</v>
      </c>
    </row>
    <row r="318" spans="1:23" x14ac:dyDescent="0.25">
      <c r="A318" s="43">
        <v>45822</v>
      </c>
      <c r="B318" s="44">
        <v>0.64236111111111116</v>
      </c>
      <c r="C318" s="44" t="s">
        <v>15</v>
      </c>
      <c r="D318" s="45">
        <v>7</v>
      </c>
      <c r="E318" s="45">
        <v>10</v>
      </c>
      <c r="F318" s="46" t="s">
        <v>432</v>
      </c>
      <c r="G318" s="46" t="s">
        <v>22</v>
      </c>
      <c r="H318" s="47"/>
      <c r="I318" s="52" t="s">
        <v>297</v>
      </c>
      <c r="J318" s="45" t="str">
        <f>VLOOKUP(Table13232[[#This Row],[Track]],$C$836:$E$882,2,FALSE)</f>
        <v>Vic</v>
      </c>
      <c r="K318" s="49">
        <v>100</v>
      </c>
      <c r="L318" s="45" t="str">
        <f>IF(Table13232[[#This Row],[Fin]]&lt;&gt;"1st","",Table13232[[#This Row],[Div]]*Table13232[[#This Row],[Lev Bet]])</f>
        <v/>
      </c>
      <c r="M318" s="45">
        <f>IF(Table13232[[#This Row],[Lev Ret]]="",Table13232[[#This Row],[Lev Bet]]*-1,L318-K318)</f>
        <v>-100</v>
      </c>
      <c r="N318" s="135">
        <v>100</v>
      </c>
      <c r="O318" s="135" t="str">
        <f>IF(Table13232[[#This Row],[Fin]]&lt;&gt;"1st","",Table13232[[#This Row],[Div]]*Table13232[[#This Row],[Nat and Combo Bet]])</f>
        <v/>
      </c>
      <c r="P318" s="135">
        <f>IF(Table13232[[#This Row],[Lev Ret]]="",Table13232[[#This Row],[Nat and Combo Bet]]*-1,O318-N318)</f>
        <v>-100</v>
      </c>
      <c r="Q318" s="50">
        <f t="shared" si="12"/>
        <v>1</v>
      </c>
      <c r="R318" s="50">
        <f>IF(AND(Q317=2,Q318=1),"",IF(Q318=2,(N318+N319)/2,IF(Table13232[[#This Row],[Dual Listing]]=1,Table13232[[#This Row],[Nat and Combo Bet]],11)))</f>
        <v>100</v>
      </c>
      <c r="S318" s="50" t="str">
        <f t="shared" si="13"/>
        <v/>
      </c>
      <c r="T318" s="50">
        <f t="shared" si="14"/>
        <v>-100</v>
      </c>
      <c r="U318" s="50" t="str">
        <f>IF(Table13232[[#This Row],[Date]]&lt;$U$4,"","Live")</f>
        <v/>
      </c>
      <c r="V318" s="45" t="str">
        <f>TEXT(Table13232[[#This Row],[Date]],"DDD")</f>
        <v>Sat</v>
      </c>
      <c r="W318" s="45" t="str">
        <f>PROPER(TRIM(Table13232[[#This Row],[Horse]]))</f>
        <v>Sayedaty Sadaty</v>
      </c>
    </row>
    <row r="319" spans="1:23" x14ac:dyDescent="0.25">
      <c r="A319" s="43">
        <v>45822</v>
      </c>
      <c r="B319" s="44">
        <v>0.6875</v>
      </c>
      <c r="C319" s="44" t="s">
        <v>12</v>
      </c>
      <c r="D319" s="45">
        <v>9</v>
      </c>
      <c r="E319" s="45">
        <v>1</v>
      </c>
      <c r="F319" s="46" t="s">
        <v>178</v>
      </c>
      <c r="G319" s="46" t="s">
        <v>22</v>
      </c>
      <c r="H319" s="47"/>
      <c r="I319" s="47" t="s">
        <v>298</v>
      </c>
      <c r="J319" s="45" t="str">
        <f>VLOOKUP(Table13232[[#This Row],[Track]],$C$836:$E$882,2,FALSE)</f>
        <v>Qld</v>
      </c>
      <c r="K319" s="49">
        <v>100</v>
      </c>
      <c r="L319" s="45" t="str">
        <f>IF(Table13232[[#This Row],[Fin]]&lt;&gt;"1st","",Table13232[[#This Row],[Div]]*Table13232[[#This Row],[Lev Bet]])</f>
        <v/>
      </c>
      <c r="M319" s="45">
        <f>IF(Table13232[[#This Row],[Lev Ret]]="",Table13232[[#This Row],[Lev Bet]]*-1,L319-K319)</f>
        <v>-100</v>
      </c>
      <c r="N319" s="135">
        <v>100</v>
      </c>
      <c r="O319" s="135" t="str">
        <f>IF(Table13232[[#This Row],[Fin]]&lt;&gt;"1st","",Table13232[[#This Row],[Div]]*Table13232[[#This Row],[Nat and Combo Bet]])</f>
        <v/>
      </c>
      <c r="P319" s="135">
        <f>IF(Table13232[[#This Row],[Lev Ret]]="",Table13232[[#This Row],[Nat and Combo Bet]]*-1,O319-N319)</f>
        <v>-100</v>
      </c>
      <c r="Q319" s="50">
        <f t="shared" si="12"/>
        <v>1</v>
      </c>
      <c r="R319" s="50">
        <f>IF(AND(Q318=2,Q319=1),"",IF(Q319=2,(N319+N320)/2,IF(Table13232[[#This Row],[Dual Listing]]=1,Table13232[[#This Row],[Nat and Combo Bet]],11)))</f>
        <v>100</v>
      </c>
      <c r="S319" s="50" t="str">
        <f t="shared" si="13"/>
        <v/>
      </c>
      <c r="T319" s="50">
        <f t="shared" si="14"/>
        <v>-100</v>
      </c>
      <c r="U319" s="50" t="str">
        <f>IF(Table13232[[#This Row],[Date]]&lt;$U$4,"","Live")</f>
        <v/>
      </c>
      <c r="V319" s="45" t="str">
        <f>TEXT(Table13232[[#This Row],[Date]],"DDD")</f>
        <v>Sat</v>
      </c>
      <c r="W319" s="45" t="str">
        <f>PROPER(TRIM(Table13232[[#This Row],[Horse]]))</f>
        <v>Fawkner Park</v>
      </c>
    </row>
    <row r="320" spans="1:23" x14ac:dyDescent="0.25">
      <c r="A320" s="109">
        <v>45822</v>
      </c>
      <c r="B320" s="53">
        <v>0.69097222222222221</v>
      </c>
      <c r="C320" s="110" t="s">
        <v>15</v>
      </c>
      <c r="D320" s="111">
        <v>9</v>
      </c>
      <c r="E320" s="111">
        <v>15</v>
      </c>
      <c r="F320" s="112" t="s">
        <v>48</v>
      </c>
      <c r="G320" s="112"/>
      <c r="H320" s="113"/>
      <c r="I320" s="114" t="s">
        <v>297</v>
      </c>
      <c r="J320" s="45" t="str">
        <f>VLOOKUP(Table13232[[#This Row],[Track]],$C$836:$E$882,2,FALSE)</f>
        <v>Vic</v>
      </c>
      <c r="K320" s="55">
        <v>100</v>
      </c>
      <c r="L320" s="54" t="str">
        <f>IF(Table13232[[#This Row],[Fin]]&lt;&gt;"1st","",Table13232[[#This Row],[Div]]*Table13232[[#This Row],[Lev Bet]])</f>
        <v/>
      </c>
      <c r="M320" s="54">
        <f>IF(Table13232[[#This Row],[Lev Ret]]="",Table13232[[#This Row],[Lev Bet]]*-1,L320-K320)</f>
        <v>-100</v>
      </c>
      <c r="N320" s="135">
        <v>100</v>
      </c>
      <c r="O320" s="135" t="str">
        <f>IF(Table13232[[#This Row],[Fin]]&lt;&gt;"1st","",Table13232[[#This Row],[Div]]*Table13232[[#This Row],[Nat and Combo Bet]])</f>
        <v/>
      </c>
      <c r="P320" s="135">
        <f>IF(Table13232[[#This Row],[Lev Ret]]="",Table13232[[#This Row],[Nat and Combo Bet]]*-1,O320-N320)</f>
        <v>-100</v>
      </c>
      <c r="Q320" s="50">
        <f t="shared" si="12"/>
        <v>2</v>
      </c>
      <c r="R320" s="50">
        <f>IF(AND(Q319=2,Q320=1),"",IF(Q320=2,(N320+N321)/2,IF(Table13232[[#This Row],[Dual Listing]]=1,Table13232[[#This Row],[Nat and Combo Bet]],11)))</f>
        <v>100</v>
      </c>
      <c r="S320" s="50" t="str">
        <f t="shared" si="13"/>
        <v/>
      </c>
      <c r="T320" s="50">
        <f t="shared" si="14"/>
        <v>-100</v>
      </c>
      <c r="U320" s="50" t="str">
        <f>IF(Table13232[[#This Row],[Date]]&lt;$U$4,"","Live")</f>
        <v/>
      </c>
      <c r="V320" s="45" t="str">
        <f>TEXT(Table13232[[#This Row],[Date]],"DDD")</f>
        <v>Sat</v>
      </c>
      <c r="W320" s="45" t="str">
        <f>PROPER(TRIM(Table13232[[#This Row],[Horse]]))</f>
        <v>The Open</v>
      </c>
    </row>
    <row r="321" spans="1:23" x14ac:dyDescent="0.25">
      <c r="A321" s="109">
        <v>45822</v>
      </c>
      <c r="B321" s="53">
        <v>0.69097222222222221</v>
      </c>
      <c r="C321" s="110" t="s">
        <v>15</v>
      </c>
      <c r="D321" s="111">
        <v>9</v>
      </c>
      <c r="E321" s="111">
        <v>15</v>
      </c>
      <c r="F321" s="112" t="s">
        <v>48</v>
      </c>
      <c r="G321" s="112"/>
      <c r="H321" s="113"/>
      <c r="I321" s="113" t="s">
        <v>298</v>
      </c>
      <c r="J321" s="45" t="str">
        <f>VLOOKUP(Table13232[[#This Row],[Track]],$C$836:$E$882,2,FALSE)</f>
        <v>Vic</v>
      </c>
      <c r="K321" s="55">
        <v>100</v>
      </c>
      <c r="L321" s="54" t="str">
        <f>IF(Table13232[[#This Row],[Fin]]&lt;&gt;"1st","",Table13232[[#This Row],[Div]]*Table13232[[#This Row],[Lev Bet]])</f>
        <v/>
      </c>
      <c r="M321" s="54">
        <f>IF(Table13232[[#This Row],[Lev Ret]]="",Table13232[[#This Row],[Lev Bet]]*-1,L321-K321)</f>
        <v>-100</v>
      </c>
      <c r="N321" s="135">
        <v>100</v>
      </c>
      <c r="O321" s="135" t="str">
        <f>IF(Table13232[[#This Row],[Fin]]&lt;&gt;"1st","",Table13232[[#This Row],[Div]]*Table13232[[#This Row],[Nat and Combo Bet]])</f>
        <v/>
      </c>
      <c r="P321" s="135">
        <f>IF(Table13232[[#This Row],[Lev Ret]]="",Table13232[[#This Row],[Nat and Combo Bet]]*-1,O321-N321)</f>
        <v>-100</v>
      </c>
      <c r="Q321" s="50">
        <f t="shared" si="12"/>
        <v>1</v>
      </c>
      <c r="R321" s="50" t="str">
        <f>IF(AND(Q320=2,Q321=1),"",IF(Q321=2,(N321+N322)/2,IF(Table13232[[#This Row],[Dual Listing]]=1,Table13232[[#This Row],[Nat and Combo Bet]],11)))</f>
        <v/>
      </c>
      <c r="S321" s="50" t="str">
        <f t="shared" si="13"/>
        <v/>
      </c>
      <c r="T321" s="50" t="str">
        <f t="shared" si="14"/>
        <v/>
      </c>
      <c r="U321" s="50" t="str">
        <f>IF(Table13232[[#This Row],[Date]]&lt;$U$4,"","Live")</f>
        <v/>
      </c>
      <c r="V321" s="45" t="str">
        <f>TEXT(Table13232[[#This Row],[Date]],"DDD")</f>
        <v>Sat</v>
      </c>
      <c r="W321" s="45" t="str">
        <f>PROPER(TRIM(Table13232[[#This Row],[Horse]]))</f>
        <v>The Open</v>
      </c>
    </row>
    <row r="322" spans="1:23" x14ac:dyDescent="0.25">
      <c r="A322" s="43">
        <v>45829</v>
      </c>
      <c r="B322" s="44">
        <v>0.50694444444444442</v>
      </c>
      <c r="C322" s="44" t="s">
        <v>13</v>
      </c>
      <c r="D322" s="45">
        <v>3</v>
      </c>
      <c r="E322" s="45">
        <v>13</v>
      </c>
      <c r="F322" s="46" t="s">
        <v>179</v>
      </c>
      <c r="G322" s="46"/>
      <c r="H322" s="47"/>
      <c r="I322" s="47" t="s">
        <v>298</v>
      </c>
      <c r="J322" s="45" t="str">
        <f>VLOOKUP(Table13232[[#This Row],[Track]],$C$836:$E$882,2,FALSE)</f>
        <v>NSW</v>
      </c>
      <c r="K322" s="49">
        <v>100</v>
      </c>
      <c r="L322" s="45" t="str">
        <f>IF(Table13232[[#This Row],[Fin]]&lt;&gt;"1st","",Table13232[[#This Row],[Div]]*Table13232[[#This Row],[Lev Bet]])</f>
        <v/>
      </c>
      <c r="M322" s="45">
        <f>IF(Table13232[[#This Row],[Lev Ret]]="",Table13232[[#This Row],[Lev Bet]]*-1,L322-K322)</f>
        <v>-100</v>
      </c>
      <c r="N322" s="135">
        <v>150</v>
      </c>
      <c r="O322" s="135" t="str">
        <f>IF(Table13232[[#This Row],[Fin]]&lt;&gt;"1st","",Table13232[[#This Row],[Div]]*Table13232[[#This Row],[Nat and Combo Bet]])</f>
        <v/>
      </c>
      <c r="P322" s="135">
        <f>IF(Table13232[[#This Row],[Lev Ret]]="",Table13232[[#This Row],[Nat and Combo Bet]]*-1,O322-N322)</f>
        <v>-150</v>
      </c>
      <c r="Q322" s="50">
        <f t="shared" si="12"/>
        <v>1</v>
      </c>
      <c r="R322" s="50">
        <f>IF(AND(Q321=2,Q322=1),"",IF(Q322=2,(N322+N323)/2,IF(Table13232[[#This Row],[Dual Listing]]=1,Table13232[[#This Row],[Nat and Combo Bet]],11)))</f>
        <v>150</v>
      </c>
      <c r="S322" s="50" t="str">
        <f t="shared" si="13"/>
        <v/>
      </c>
      <c r="T322" s="50">
        <f t="shared" si="14"/>
        <v>-150</v>
      </c>
      <c r="U322" s="50" t="str">
        <f>IF(Table13232[[#This Row],[Date]]&lt;$U$4,"","Live")</f>
        <v/>
      </c>
      <c r="V322" s="45" t="str">
        <f>TEXT(Table13232[[#This Row],[Date]],"DDD")</f>
        <v>Sat</v>
      </c>
      <c r="W322" s="45" t="str">
        <f>PROPER(TRIM(Table13232[[#This Row],[Horse]]))</f>
        <v>Magical Moments</v>
      </c>
    </row>
    <row r="323" spans="1:23" x14ac:dyDescent="0.25">
      <c r="A323" s="43">
        <v>45829</v>
      </c>
      <c r="B323" s="44">
        <v>0.51249999999999996</v>
      </c>
      <c r="C323" s="44" t="s">
        <v>497</v>
      </c>
      <c r="D323" s="45">
        <v>2</v>
      </c>
      <c r="E323" s="45">
        <v>9</v>
      </c>
      <c r="F323" s="46" t="s">
        <v>498</v>
      </c>
      <c r="G323" s="46" t="s">
        <v>21</v>
      </c>
      <c r="H323" s="47">
        <v>3</v>
      </c>
      <c r="I323" s="47" t="s">
        <v>298</v>
      </c>
      <c r="J323" s="45" t="str">
        <f>VLOOKUP(Table13232[[#This Row],[Track]],$C$836:$E$882,2,FALSE)</f>
        <v>Qld</v>
      </c>
      <c r="K323" s="49">
        <v>100</v>
      </c>
      <c r="L323" s="45">
        <f>IF(Table13232[[#This Row],[Fin]]&lt;&gt;"1st","",Table13232[[#This Row],[Div]]*Table13232[[#This Row],[Lev Bet]])</f>
        <v>300</v>
      </c>
      <c r="M323" s="45">
        <f>IF(Table13232[[#This Row],[Lev Ret]]="",Table13232[[#This Row],[Lev Bet]]*-1,L323-K323)</f>
        <v>200</v>
      </c>
      <c r="N323" s="135">
        <v>100</v>
      </c>
      <c r="O323" s="135">
        <f>IF(Table13232[[#This Row],[Fin]]&lt;&gt;"1st","",Table13232[[#This Row],[Div]]*Table13232[[#This Row],[Nat and Combo Bet]])</f>
        <v>300</v>
      </c>
      <c r="P323" s="135">
        <f>IF(Table13232[[#This Row],[Lev Ret]]="",Table13232[[#This Row],[Nat and Combo Bet]]*-1,O323-N323)</f>
        <v>200</v>
      </c>
      <c r="Q323" s="50">
        <f t="shared" si="12"/>
        <v>1</v>
      </c>
      <c r="R323" s="50">
        <f>IF(AND(Q322=2,Q323=1),"",IF(Q323=2,(N323+N324)/2,IF(Table13232[[#This Row],[Dual Listing]]=1,Table13232[[#This Row],[Nat and Combo Bet]],11)))</f>
        <v>100</v>
      </c>
      <c r="S323" s="50">
        <f t="shared" si="13"/>
        <v>300</v>
      </c>
      <c r="T323" s="50">
        <f t="shared" si="14"/>
        <v>200</v>
      </c>
      <c r="U323" s="50" t="str">
        <f>IF(Table13232[[#This Row],[Date]]&lt;$U$4,"","Live")</f>
        <v/>
      </c>
      <c r="V323" s="45" t="str">
        <f>TEXT(Table13232[[#This Row],[Date]],"DDD")</f>
        <v>Sat</v>
      </c>
      <c r="W323" s="45" t="str">
        <f>PROPER(TRIM(Table13232[[#This Row],[Horse]]))</f>
        <v>Boys Night Out</v>
      </c>
    </row>
    <row r="324" spans="1:23" x14ac:dyDescent="0.25">
      <c r="A324" s="109">
        <v>45829</v>
      </c>
      <c r="B324" s="53">
        <v>0.54166666666666663</v>
      </c>
      <c r="C324" s="110" t="s">
        <v>10</v>
      </c>
      <c r="D324" s="111">
        <v>3</v>
      </c>
      <c r="E324" s="111">
        <v>5</v>
      </c>
      <c r="F324" s="112" t="s">
        <v>81</v>
      </c>
      <c r="G324" s="112" t="s">
        <v>23</v>
      </c>
      <c r="H324" s="113"/>
      <c r="I324" s="114" t="s">
        <v>297</v>
      </c>
      <c r="J324" s="45" t="str">
        <f>VLOOKUP(Table13232[[#This Row],[Track]],$C$836:$E$882,2,FALSE)</f>
        <v>Vic</v>
      </c>
      <c r="K324" s="55">
        <v>100</v>
      </c>
      <c r="L324" s="54" t="str">
        <f>IF(Table13232[[#This Row],[Fin]]&lt;&gt;"1st","",Table13232[[#This Row],[Div]]*Table13232[[#This Row],[Lev Bet]])</f>
        <v/>
      </c>
      <c r="M324" s="54">
        <f>IF(Table13232[[#This Row],[Lev Ret]]="",Table13232[[#This Row],[Lev Bet]]*-1,L324-K324)</f>
        <v>-100</v>
      </c>
      <c r="N324" s="135">
        <v>150</v>
      </c>
      <c r="O324" s="135" t="str">
        <f>IF(Table13232[[#This Row],[Fin]]&lt;&gt;"1st","",Table13232[[#This Row],[Div]]*Table13232[[#This Row],[Nat and Combo Bet]])</f>
        <v/>
      </c>
      <c r="P324" s="135">
        <f>IF(Table13232[[#This Row],[Lev Ret]]="",Table13232[[#This Row],[Nat and Combo Bet]]*-1,O324-N324)</f>
        <v>-150</v>
      </c>
      <c r="Q324" s="50">
        <f t="shared" si="12"/>
        <v>2</v>
      </c>
      <c r="R324" s="50">
        <f>IF(AND(Q323=2,Q324=1),"",IF(Q324=2,(N324+N325)/2,IF(Table13232[[#This Row],[Dual Listing]]=1,Table13232[[#This Row],[Nat and Combo Bet]],11)))</f>
        <v>125</v>
      </c>
      <c r="S324" s="50" t="str">
        <f t="shared" si="13"/>
        <v/>
      </c>
      <c r="T324" s="50">
        <f t="shared" si="14"/>
        <v>-125</v>
      </c>
      <c r="U324" s="50" t="str">
        <f>IF(Table13232[[#This Row],[Date]]&lt;$U$4,"","Live")</f>
        <v/>
      </c>
      <c r="V324" s="45" t="str">
        <f>TEXT(Table13232[[#This Row],[Date]],"DDD")</f>
        <v>Sat</v>
      </c>
      <c r="W324" s="45" t="str">
        <f>PROPER(TRIM(Table13232[[#This Row],[Horse]]))</f>
        <v>Cleo Cat</v>
      </c>
    </row>
    <row r="325" spans="1:23" x14ac:dyDescent="0.25">
      <c r="A325" s="109">
        <v>45829</v>
      </c>
      <c r="B325" s="53">
        <v>0.54166666666666663</v>
      </c>
      <c r="C325" s="110" t="s">
        <v>10</v>
      </c>
      <c r="D325" s="111">
        <v>3</v>
      </c>
      <c r="E325" s="111">
        <v>5</v>
      </c>
      <c r="F325" s="112" t="s">
        <v>81</v>
      </c>
      <c r="G325" s="112" t="s">
        <v>23</v>
      </c>
      <c r="H325" s="113"/>
      <c r="I325" s="113" t="s">
        <v>298</v>
      </c>
      <c r="J325" s="45" t="str">
        <f>VLOOKUP(Table13232[[#This Row],[Track]],$C$836:$E$882,2,FALSE)</f>
        <v>Vic</v>
      </c>
      <c r="K325" s="55">
        <v>100</v>
      </c>
      <c r="L325" s="54" t="str">
        <f>IF(Table13232[[#This Row],[Fin]]&lt;&gt;"1st","",Table13232[[#This Row],[Div]]*Table13232[[#This Row],[Lev Bet]])</f>
        <v/>
      </c>
      <c r="M325" s="54">
        <f>IF(Table13232[[#This Row],[Lev Ret]]="",Table13232[[#This Row],[Lev Bet]]*-1,L325-K325)</f>
        <v>-100</v>
      </c>
      <c r="N325" s="135">
        <v>100</v>
      </c>
      <c r="O325" s="135" t="str">
        <f>IF(Table13232[[#This Row],[Fin]]&lt;&gt;"1st","",Table13232[[#This Row],[Div]]*Table13232[[#This Row],[Nat and Combo Bet]])</f>
        <v/>
      </c>
      <c r="P325" s="135">
        <f>IF(Table13232[[#This Row],[Lev Ret]]="",Table13232[[#This Row],[Nat and Combo Bet]]*-1,O325-N325)</f>
        <v>-100</v>
      </c>
      <c r="Q325" s="50">
        <f t="shared" si="12"/>
        <v>1</v>
      </c>
      <c r="R325" s="50" t="str">
        <f>IF(AND(Q324=2,Q325=1),"",IF(Q325=2,(N325+N326)/2,IF(Table13232[[#This Row],[Dual Listing]]=1,Table13232[[#This Row],[Nat and Combo Bet]],11)))</f>
        <v/>
      </c>
      <c r="S325" s="50" t="str">
        <f t="shared" si="13"/>
        <v/>
      </c>
      <c r="T325" s="50" t="str">
        <f t="shared" si="14"/>
        <v/>
      </c>
      <c r="U325" s="50" t="str">
        <f>IF(Table13232[[#This Row],[Date]]&lt;$U$4,"","Live")</f>
        <v/>
      </c>
      <c r="V325" s="45" t="str">
        <f>TEXT(Table13232[[#This Row],[Date]],"DDD")</f>
        <v>Sat</v>
      </c>
      <c r="W325" s="45" t="str">
        <f>PROPER(TRIM(Table13232[[#This Row],[Horse]]))</f>
        <v>Cleo Cat</v>
      </c>
    </row>
    <row r="326" spans="1:23" x14ac:dyDescent="0.25">
      <c r="A326" s="43">
        <v>45829</v>
      </c>
      <c r="B326" s="44">
        <v>0.54166666666666663</v>
      </c>
      <c r="C326" s="44" t="s">
        <v>10</v>
      </c>
      <c r="D326" s="45">
        <v>3</v>
      </c>
      <c r="E326" s="45">
        <v>4</v>
      </c>
      <c r="F326" s="46" t="s">
        <v>192</v>
      </c>
      <c r="G326" s="46" t="s">
        <v>21</v>
      </c>
      <c r="H326" s="47">
        <v>8</v>
      </c>
      <c r="I326" s="52" t="s">
        <v>297</v>
      </c>
      <c r="J326" s="45" t="str">
        <f>VLOOKUP(Table13232[[#This Row],[Track]],$C$836:$E$882,2,FALSE)</f>
        <v>Vic</v>
      </c>
      <c r="K326" s="49">
        <v>100</v>
      </c>
      <c r="L326" s="45">
        <f>IF(Table13232[[#This Row],[Fin]]&lt;&gt;"1st","",Table13232[[#This Row],[Div]]*Table13232[[#This Row],[Lev Bet]])</f>
        <v>800</v>
      </c>
      <c r="M326" s="45">
        <f>IF(Table13232[[#This Row],[Lev Ret]]="",Table13232[[#This Row],[Lev Bet]]*-1,L326-K326)</f>
        <v>700</v>
      </c>
      <c r="N326" s="135">
        <v>100</v>
      </c>
      <c r="O326" s="135">
        <f>IF(Table13232[[#This Row],[Fin]]&lt;&gt;"1st","",Table13232[[#This Row],[Div]]*Table13232[[#This Row],[Nat and Combo Bet]])</f>
        <v>800</v>
      </c>
      <c r="P326" s="135">
        <f>IF(Table13232[[#This Row],[Lev Ret]]="",Table13232[[#This Row],[Nat and Combo Bet]]*-1,O326-N326)</f>
        <v>700</v>
      </c>
      <c r="Q326" s="50">
        <f t="shared" si="12"/>
        <v>1</v>
      </c>
      <c r="R326" s="50">
        <f>IF(AND(Q325=2,Q326=1),"",IF(Q326=2,(N326+N327)/2,IF(Table13232[[#This Row],[Dual Listing]]=1,Table13232[[#This Row],[Nat and Combo Bet]],11)))</f>
        <v>100</v>
      </c>
      <c r="S326" s="50">
        <f t="shared" si="13"/>
        <v>800</v>
      </c>
      <c r="T326" s="50">
        <f t="shared" si="14"/>
        <v>700</v>
      </c>
      <c r="U326" s="50" t="str">
        <f>IF(Table13232[[#This Row],[Date]]&lt;$U$4,"","Live")</f>
        <v/>
      </c>
      <c r="V326" s="45" t="str">
        <f>TEXT(Table13232[[#This Row],[Date]],"DDD")</f>
        <v>Sat</v>
      </c>
      <c r="W326" s="45" t="str">
        <f>PROPER(TRIM(Table13232[[#This Row],[Horse]]))</f>
        <v>Marble Nine</v>
      </c>
    </row>
    <row r="327" spans="1:23" x14ac:dyDescent="0.25">
      <c r="A327" s="43">
        <v>45829</v>
      </c>
      <c r="B327" s="44">
        <v>0.56111111111111112</v>
      </c>
      <c r="C327" s="44" t="s">
        <v>497</v>
      </c>
      <c r="D327" s="45">
        <v>4</v>
      </c>
      <c r="E327" s="45">
        <v>5</v>
      </c>
      <c r="F327" s="46" t="s">
        <v>499</v>
      </c>
      <c r="G327" s="46"/>
      <c r="H327" s="47"/>
      <c r="I327" s="47" t="s">
        <v>298</v>
      </c>
      <c r="J327" s="45" t="str">
        <f>VLOOKUP(Table13232[[#This Row],[Track]],$C$836:$E$882,2,FALSE)</f>
        <v>Qld</v>
      </c>
      <c r="K327" s="49">
        <v>100</v>
      </c>
      <c r="L327" s="45" t="str">
        <f>IF(Table13232[[#This Row],[Fin]]&lt;&gt;"1st","",Table13232[[#This Row],[Div]]*Table13232[[#This Row],[Lev Bet]])</f>
        <v/>
      </c>
      <c r="M327" s="45">
        <f>IF(Table13232[[#This Row],[Lev Ret]]="",Table13232[[#This Row],[Lev Bet]]*-1,L327-K327)</f>
        <v>-100</v>
      </c>
      <c r="N327" s="135">
        <v>100</v>
      </c>
      <c r="O327" s="135" t="str">
        <f>IF(Table13232[[#This Row],[Fin]]&lt;&gt;"1st","",Table13232[[#This Row],[Div]]*Table13232[[#This Row],[Nat and Combo Bet]])</f>
        <v/>
      </c>
      <c r="P327" s="135">
        <f>IF(Table13232[[#This Row],[Lev Ret]]="",Table13232[[#This Row],[Nat and Combo Bet]]*-1,O327-N327)</f>
        <v>-100</v>
      </c>
      <c r="Q327" s="50">
        <f t="shared" ref="Q327:Q390" si="15">IF(AND(A328=A327,F328=F327),2,1)</f>
        <v>1</v>
      </c>
      <c r="R327" s="50">
        <f>IF(AND(Q326=2,Q327=1),"",IF(Q327=2,(N327+N328)/2,IF(Table13232[[#This Row],[Dual Listing]]=1,Table13232[[#This Row],[Nat and Combo Bet]],11)))</f>
        <v>100</v>
      </c>
      <c r="S327" s="50" t="str">
        <f t="shared" ref="S327:S390" si="16">IF(R327="","",IF(O327="","",R327*H327))</f>
        <v/>
      </c>
      <c r="T327" s="50">
        <f t="shared" ref="T327:T390" si="17">IF(R327="","",IF(S327="",R327*-1,S327-R327))</f>
        <v>-100</v>
      </c>
      <c r="U327" s="50" t="str">
        <f>IF(Table13232[[#This Row],[Date]]&lt;$U$4,"","Live")</f>
        <v/>
      </c>
      <c r="V327" s="45" t="str">
        <f>TEXT(Table13232[[#This Row],[Date]],"DDD")</f>
        <v>Sat</v>
      </c>
      <c r="W327" s="45" t="str">
        <f>PROPER(TRIM(Table13232[[#This Row],[Horse]]))</f>
        <v>Taltarni Fields</v>
      </c>
    </row>
    <row r="328" spans="1:23" x14ac:dyDescent="0.25">
      <c r="A328" s="43">
        <v>45829</v>
      </c>
      <c r="B328" s="44">
        <v>0.5854166666666667</v>
      </c>
      <c r="C328" s="44" t="s">
        <v>497</v>
      </c>
      <c r="D328" s="45">
        <v>5</v>
      </c>
      <c r="E328" s="45">
        <v>12</v>
      </c>
      <c r="F328" s="46" t="s">
        <v>205</v>
      </c>
      <c r="G328" s="46"/>
      <c r="H328" s="47"/>
      <c r="I328" s="47" t="s">
        <v>298</v>
      </c>
      <c r="J328" s="45" t="str">
        <f>VLOOKUP(Table13232[[#This Row],[Track]],$C$836:$E$882,2,FALSE)</f>
        <v>Qld</v>
      </c>
      <c r="K328" s="49">
        <v>100</v>
      </c>
      <c r="L328" s="45" t="str">
        <f>IF(Table13232[[#This Row],[Fin]]&lt;&gt;"1st","",Table13232[[#This Row],[Div]]*Table13232[[#This Row],[Lev Bet]])</f>
        <v/>
      </c>
      <c r="M328" s="45">
        <f>IF(Table13232[[#This Row],[Lev Ret]]="",Table13232[[#This Row],[Lev Bet]]*-1,L328-K328)</f>
        <v>-100</v>
      </c>
      <c r="N328" s="135">
        <v>100</v>
      </c>
      <c r="O328" s="135" t="str">
        <f>IF(Table13232[[#This Row],[Fin]]&lt;&gt;"1st","",Table13232[[#This Row],[Div]]*Table13232[[#This Row],[Nat and Combo Bet]])</f>
        <v/>
      </c>
      <c r="P328" s="135">
        <f>IF(Table13232[[#This Row],[Lev Ret]]="",Table13232[[#This Row],[Nat and Combo Bet]]*-1,O328-N328)</f>
        <v>-100</v>
      </c>
      <c r="Q328" s="50">
        <f t="shared" si="15"/>
        <v>1</v>
      </c>
      <c r="R328" s="50">
        <f>IF(AND(Q327=2,Q328=1),"",IF(Q328=2,(N328+N329)/2,IF(Table13232[[#This Row],[Dual Listing]]=1,Table13232[[#This Row],[Nat and Combo Bet]],11)))</f>
        <v>100</v>
      </c>
      <c r="S328" s="50" t="str">
        <f t="shared" si="16"/>
        <v/>
      </c>
      <c r="T328" s="50">
        <f t="shared" si="17"/>
        <v>-100</v>
      </c>
      <c r="U328" s="50" t="str">
        <f>IF(Table13232[[#This Row],[Date]]&lt;$U$4,"","Live")</f>
        <v/>
      </c>
      <c r="V328" s="45" t="str">
        <f>TEXT(Table13232[[#This Row],[Date]],"DDD")</f>
        <v>Sat</v>
      </c>
      <c r="W328" s="45" t="str">
        <f>PROPER(TRIM(Table13232[[#This Row],[Horse]]))</f>
        <v>Just Flying</v>
      </c>
    </row>
    <row r="329" spans="1:23" x14ac:dyDescent="0.25">
      <c r="A329" s="43">
        <v>45829</v>
      </c>
      <c r="B329" s="44">
        <v>0.59027777777777779</v>
      </c>
      <c r="C329" s="44" t="s">
        <v>10</v>
      </c>
      <c r="D329" s="45">
        <v>5</v>
      </c>
      <c r="E329" s="45">
        <v>10</v>
      </c>
      <c r="F329" s="46" t="s">
        <v>180</v>
      </c>
      <c r="G329" s="46"/>
      <c r="H329" s="47"/>
      <c r="I329" s="47" t="s">
        <v>298</v>
      </c>
      <c r="J329" s="45" t="str">
        <f>VLOOKUP(Table13232[[#This Row],[Track]],$C$836:$E$882,2,FALSE)</f>
        <v>Vic</v>
      </c>
      <c r="K329" s="49">
        <v>100</v>
      </c>
      <c r="L329" s="45" t="str">
        <f>IF(Table13232[[#This Row],[Fin]]&lt;&gt;"1st","",Table13232[[#This Row],[Div]]*Table13232[[#This Row],[Lev Bet]])</f>
        <v/>
      </c>
      <c r="M329" s="45">
        <f>IF(Table13232[[#This Row],[Lev Ret]]="",Table13232[[#This Row],[Lev Bet]]*-1,L329-K329)</f>
        <v>-100</v>
      </c>
      <c r="N329" s="135">
        <v>100</v>
      </c>
      <c r="O329" s="135" t="str">
        <f>IF(Table13232[[#This Row],[Fin]]&lt;&gt;"1st","",Table13232[[#This Row],[Div]]*Table13232[[#This Row],[Nat and Combo Bet]])</f>
        <v/>
      </c>
      <c r="P329" s="135">
        <f>IF(Table13232[[#This Row],[Lev Ret]]="",Table13232[[#This Row],[Nat and Combo Bet]]*-1,O329-N329)</f>
        <v>-100</v>
      </c>
      <c r="Q329" s="50">
        <f t="shared" si="15"/>
        <v>1</v>
      </c>
      <c r="R329" s="50">
        <f>IF(AND(Q328=2,Q329=1),"",IF(Q329=2,(N329+N330)/2,IF(Table13232[[#This Row],[Dual Listing]]=1,Table13232[[#This Row],[Nat and Combo Bet]],11)))</f>
        <v>100</v>
      </c>
      <c r="S329" s="50" t="str">
        <f t="shared" si="16"/>
        <v/>
      </c>
      <c r="T329" s="50">
        <f t="shared" si="17"/>
        <v>-100</v>
      </c>
      <c r="U329" s="50" t="str">
        <f>IF(Table13232[[#This Row],[Date]]&lt;$U$4,"","Live")</f>
        <v/>
      </c>
      <c r="V329" s="45" t="str">
        <f>TEXT(Table13232[[#This Row],[Date]],"DDD")</f>
        <v>Sat</v>
      </c>
      <c r="W329" s="45" t="str">
        <f>PROPER(TRIM(Table13232[[#This Row],[Horse]]))</f>
        <v>Red Galaxy</v>
      </c>
    </row>
    <row r="330" spans="1:23" x14ac:dyDescent="0.25">
      <c r="A330" s="43">
        <v>45829</v>
      </c>
      <c r="B330" s="44">
        <v>0.61458333333333337</v>
      </c>
      <c r="C330" s="44" t="s">
        <v>10</v>
      </c>
      <c r="D330" s="45">
        <v>6</v>
      </c>
      <c r="E330" s="45">
        <v>5</v>
      </c>
      <c r="F330" s="46" t="s">
        <v>207</v>
      </c>
      <c r="G330" s="46" t="s">
        <v>21</v>
      </c>
      <c r="H330" s="47">
        <v>5</v>
      </c>
      <c r="I330" s="52" t="s">
        <v>297</v>
      </c>
      <c r="J330" s="45" t="str">
        <f>VLOOKUP(Table13232[[#This Row],[Track]],$C$836:$E$882,2,FALSE)</f>
        <v>Vic</v>
      </c>
      <c r="K330" s="49">
        <v>100</v>
      </c>
      <c r="L330" s="45">
        <f>IF(Table13232[[#This Row],[Fin]]&lt;&gt;"1st","",Table13232[[#This Row],[Div]]*Table13232[[#This Row],[Lev Bet]])</f>
        <v>500</v>
      </c>
      <c r="M330" s="45">
        <f>IF(Table13232[[#This Row],[Lev Ret]]="",Table13232[[#This Row],[Lev Bet]]*-1,L330-K330)</f>
        <v>400</v>
      </c>
      <c r="N330" s="135">
        <v>120</v>
      </c>
      <c r="O330" s="135">
        <f>IF(Table13232[[#This Row],[Fin]]&lt;&gt;"1st","",Table13232[[#This Row],[Div]]*Table13232[[#This Row],[Nat and Combo Bet]])</f>
        <v>600</v>
      </c>
      <c r="P330" s="135">
        <f>IF(Table13232[[#This Row],[Lev Ret]]="",Table13232[[#This Row],[Nat and Combo Bet]]*-1,O330-N330)</f>
        <v>480</v>
      </c>
      <c r="Q330" s="50">
        <f t="shared" si="15"/>
        <v>1</v>
      </c>
      <c r="R330" s="50">
        <f>IF(AND(Q329=2,Q330=1),"",IF(Q330=2,(N330+N331)/2,IF(Table13232[[#This Row],[Dual Listing]]=1,Table13232[[#This Row],[Nat and Combo Bet]],11)))</f>
        <v>120</v>
      </c>
      <c r="S330" s="50">
        <f t="shared" si="16"/>
        <v>600</v>
      </c>
      <c r="T330" s="50">
        <f t="shared" si="17"/>
        <v>480</v>
      </c>
      <c r="U330" s="50" t="str">
        <f>IF(Table13232[[#This Row],[Date]]&lt;$U$4,"","Live")</f>
        <v/>
      </c>
      <c r="V330" s="45" t="str">
        <f>TEXT(Table13232[[#This Row],[Date]],"DDD")</f>
        <v>Sat</v>
      </c>
      <c r="W330" s="45" t="str">
        <f>PROPER(TRIM(Table13232[[#This Row],[Horse]]))</f>
        <v>Bold Soul</v>
      </c>
    </row>
    <row r="331" spans="1:23" x14ac:dyDescent="0.25">
      <c r="A331" s="43">
        <v>45829</v>
      </c>
      <c r="B331" s="44">
        <v>0.62847222222222221</v>
      </c>
      <c r="C331" s="44" t="s">
        <v>13</v>
      </c>
      <c r="D331" s="45">
        <v>8</v>
      </c>
      <c r="E331" s="45">
        <v>6</v>
      </c>
      <c r="F331" s="46" t="s">
        <v>90</v>
      </c>
      <c r="G331" s="46" t="s">
        <v>23</v>
      </c>
      <c r="H331" s="47"/>
      <c r="I331" s="52" t="s">
        <v>297</v>
      </c>
      <c r="J331" s="45" t="str">
        <f>VLOOKUP(Table13232[[#This Row],[Track]],$C$836:$E$882,2,FALSE)</f>
        <v>NSW</v>
      </c>
      <c r="K331" s="49">
        <v>100</v>
      </c>
      <c r="L331" s="45" t="str">
        <f>IF(Table13232[[#This Row],[Fin]]&lt;&gt;"1st","",Table13232[[#This Row],[Div]]*Table13232[[#This Row],[Lev Bet]])</f>
        <v/>
      </c>
      <c r="M331" s="45">
        <f>IF(Table13232[[#This Row],[Lev Ret]]="",Table13232[[#This Row],[Lev Bet]]*-1,L331-K331)</f>
        <v>-100</v>
      </c>
      <c r="N331" s="135">
        <v>150</v>
      </c>
      <c r="O331" s="135" t="str">
        <f>IF(Table13232[[#This Row],[Fin]]&lt;&gt;"1st","",Table13232[[#This Row],[Div]]*Table13232[[#This Row],[Nat and Combo Bet]])</f>
        <v/>
      </c>
      <c r="P331" s="135">
        <f>IF(Table13232[[#This Row],[Lev Ret]]="",Table13232[[#This Row],[Nat and Combo Bet]]*-1,O331-N331)</f>
        <v>-150</v>
      </c>
      <c r="Q331" s="50">
        <f t="shared" si="15"/>
        <v>1</v>
      </c>
      <c r="R331" s="50">
        <f>IF(AND(Q330=2,Q331=1),"",IF(Q331=2,(N331+N332)/2,IF(Table13232[[#This Row],[Dual Listing]]=1,Table13232[[#This Row],[Nat and Combo Bet]],11)))</f>
        <v>150</v>
      </c>
      <c r="S331" s="50" t="str">
        <f t="shared" si="16"/>
        <v/>
      </c>
      <c r="T331" s="50">
        <f t="shared" si="17"/>
        <v>-150</v>
      </c>
      <c r="U331" s="50" t="str">
        <f>IF(Table13232[[#This Row],[Date]]&lt;$U$4,"","Live")</f>
        <v/>
      </c>
      <c r="V331" s="45" t="str">
        <f>TEXT(Table13232[[#This Row],[Date]],"DDD")</f>
        <v>Sat</v>
      </c>
      <c r="W331" s="45" t="str">
        <f>PROPER(TRIM(Table13232[[#This Row],[Horse]]))</f>
        <v>Oh Diamond Lil</v>
      </c>
    </row>
    <row r="332" spans="1:23" x14ac:dyDescent="0.25">
      <c r="A332" s="109">
        <v>45829</v>
      </c>
      <c r="B332" s="53">
        <v>0.64236111111111116</v>
      </c>
      <c r="C332" s="110" t="s">
        <v>10</v>
      </c>
      <c r="D332" s="111">
        <v>7</v>
      </c>
      <c r="E332" s="111">
        <v>6</v>
      </c>
      <c r="F332" s="112" t="s">
        <v>181</v>
      </c>
      <c r="G332" s="112" t="s">
        <v>21</v>
      </c>
      <c r="H332" s="113">
        <v>1.9</v>
      </c>
      <c r="I332" s="114" t="s">
        <v>297</v>
      </c>
      <c r="J332" s="45" t="str">
        <f>VLOOKUP(Table13232[[#This Row],[Track]],$C$836:$E$882,2,FALSE)</f>
        <v>Vic</v>
      </c>
      <c r="K332" s="55">
        <v>100</v>
      </c>
      <c r="L332" s="54">
        <f>IF(Table13232[[#This Row],[Fin]]&lt;&gt;"1st","",Table13232[[#This Row],[Div]]*Table13232[[#This Row],[Lev Bet]])</f>
        <v>190</v>
      </c>
      <c r="M332" s="54">
        <f>IF(Table13232[[#This Row],[Lev Ret]]="",Table13232[[#This Row],[Lev Bet]]*-1,L332-K332)</f>
        <v>90</v>
      </c>
      <c r="N332" s="135">
        <v>100</v>
      </c>
      <c r="O332" s="135">
        <f>IF(Table13232[[#This Row],[Fin]]&lt;&gt;"1st","",Table13232[[#This Row],[Div]]*Table13232[[#This Row],[Nat and Combo Bet]])</f>
        <v>190</v>
      </c>
      <c r="P332" s="135">
        <f>IF(Table13232[[#This Row],[Lev Ret]]="",Table13232[[#This Row],[Nat and Combo Bet]]*-1,O332-N332)</f>
        <v>90</v>
      </c>
      <c r="Q332" s="50">
        <f t="shared" si="15"/>
        <v>2</v>
      </c>
      <c r="R332" s="50">
        <f>IF(AND(Q331=2,Q332=1),"",IF(Q332=2,(N332+N333)/2,IF(Table13232[[#This Row],[Dual Listing]]=1,Table13232[[#This Row],[Nat and Combo Bet]],11)))</f>
        <v>100</v>
      </c>
      <c r="S332" s="50">
        <f t="shared" si="16"/>
        <v>190</v>
      </c>
      <c r="T332" s="50">
        <f t="shared" si="17"/>
        <v>90</v>
      </c>
      <c r="U332" s="50" t="str">
        <f>IF(Table13232[[#This Row],[Date]]&lt;$U$4,"","Live")</f>
        <v/>
      </c>
      <c r="V332" s="45" t="str">
        <f>TEXT(Table13232[[#This Row],[Date]],"DDD")</f>
        <v>Sat</v>
      </c>
      <c r="W332" s="45" t="str">
        <f>PROPER(TRIM(Table13232[[#This Row],[Horse]]))</f>
        <v>Splash Back</v>
      </c>
    </row>
    <row r="333" spans="1:23" x14ac:dyDescent="0.25">
      <c r="A333" s="109">
        <v>45829</v>
      </c>
      <c r="B333" s="53">
        <v>0.64236111111111116</v>
      </c>
      <c r="C333" s="110" t="s">
        <v>10</v>
      </c>
      <c r="D333" s="111">
        <v>7</v>
      </c>
      <c r="E333" s="111">
        <v>6</v>
      </c>
      <c r="F333" s="112" t="s">
        <v>181</v>
      </c>
      <c r="G333" s="112" t="s">
        <v>21</v>
      </c>
      <c r="H333" s="113">
        <v>1.9</v>
      </c>
      <c r="I333" s="113" t="s">
        <v>298</v>
      </c>
      <c r="J333" s="45" t="str">
        <f>VLOOKUP(Table13232[[#This Row],[Track]],$C$836:$E$882,2,FALSE)</f>
        <v>Vic</v>
      </c>
      <c r="K333" s="55">
        <v>100</v>
      </c>
      <c r="L333" s="54">
        <f>IF(Table13232[[#This Row],[Fin]]&lt;&gt;"1st","",Table13232[[#This Row],[Div]]*Table13232[[#This Row],[Lev Bet]])</f>
        <v>190</v>
      </c>
      <c r="M333" s="54">
        <f>IF(Table13232[[#This Row],[Lev Ret]]="",Table13232[[#This Row],[Lev Bet]]*-1,L333-K333)</f>
        <v>90</v>
      </c>
      <c r="N333" s="135">
        <v>100</v>
      </c>
      <c r="O333" s="135">
        <f>IF(Table13232[[#This Row],[Fin]]&lt;&gt;"1st","",Table13232[[#This Row],[Div]]*Table13232[[#This Row],[Nat and Combo Bet]])</f>
        <v>190</v>
      </c>
      <c r="P333" s="135">
        <f>IF(Table13232[[#This Row],[Lev Ret]]="",Table13232[[#This Row],[Nat and Combo Bet]]*-1,O333-N333)</f>
        <v>90</v>
      </c>
      <c r="Q333" s="50">
        <f t="shared" si="15"/>
        <v>1</v>
      </c>
      <c r="R333" s="50" t="str">
        <f>IF(AND(Q332=2,Q333=1),"",IF(Q333=2,(N333+N334)/2,IF(Table13232[[#This Row],[Dual Listing]]=1,Table13232[[#This Row],[Nat and Combo Bet]],11)))</f>
        <v/>
      </c>
      <c r="S333" s="50" t="str">
        <f t="shared" si="16"/>
        <v/>
      </c>
      <c r="T333" s="50" t="str">
        <f t="shared" si="17"/>
        <v/>
      </c>
      <c r="U333" s="50" t="str">
        <f>IF(Table13232[[#This Row],[Date]]&lt;$U$4,"","Live")</f>
        <v/>
      </c>
      <c r="V333" s="45" t="str">
        <f>TEXT(Table13232[[#This Row],[Date]],"DDD")</f>
        <v>Sat</v>
      </c>
      <c r="W333" s="45" t="str">
        <f>PROPER(TRIM(Table13232[[#This Row],[Horse]]))</f>
        <v>Splash Back</v>
      </c>
    </row>
    <row r="334" spans="1:23" x14ac:dyDescent="0.25">
      <c r="A334" s="109">
        <v>45829</v>
      </c>
      <c r="B334" s="53">
        <v>0.65625</v>
      </c>
      <c r="C334" s="110" t="s">
        <v>13</v>
      </c>
      <c r="D334" s="111">
        <v>9</v>
      </c>
      <c r="E334" s="111">
        <v>13</v>
      </c>
      <c r="F334" s="112" t="s">
        <v>182</v>
      </c>
      <c r="G334" s="112" t="s">
        <v>21</v>
      </c>
      <c r="H334" s="113">
        <v>2.8</v>
      </c>
      <c r="I334" s="114" t="s">
        <v>297</v>
      </c>
      <c r="J334" s="45" t="str">
        <f>VLOOKUP(Table13232[[#This Row],[Track]],$C$836:$E$882,2,FALSE)</f>
        <v>NSW</v>
      </c>
      <c r="K334" s="55">
        <v>100</v>
      </c>
      <c r="L334" s="54">
        <f>IF(Table13232[[#This Row],[Fin]]&lt;&gt;"1st","",Table13232[[#This Row],[Div]]*Table13232[[#This Row],[Lev Bet]])</f>
        <v>280</v>
      </c>
      <c r="M334" s="54">
        <f>IF(Table13232[[#This Row],[Lev Ret]]="",Table13232[[#This Row],[Lev Bet]]*-1,L334-K334)</f>
        <v>180</v>
      </c>
      <c r="N334" s="135">
        <v>200</v>
      </c>
      <c r="O334" s="135">
        <f>IF(Table13232[[#This Row],[Fin]]&lt;&gt;"1st","",Table13232[[#This Row],[Div]]*Table13232[[#This Row],[Nat and Combo Bet]])</f>
        <v>560</v>
      </c>
      <c r="P334" s="135">
        <f>IF(Table13232[[#This Row],[Lev Ret]]="",Table13232[[#This Row],[Nat and Combo Bet]]*-1,O334-N334)</f>
        <v>360</v>
      </c>
      <c r="Q334" s="50">
        <f t="shared" si="15"/>
        <v>2</v>
      </c>
      <c r="R334" s="50">
        <f>IF(AND(Q333=2,Q334=1),"",IF(Q334=2,(N334+N335)/2,IF(Table13232[[#This Row],[Dual Listing]]=1,Table13232[[#This Row],[Nat and Combo Bet]],11)))</f>
        <v>175</v>
      </c>
      <c r="S334" s="50">
        <f t="shared" si="16"/>
        <v>489.99999999999994</v>
      </c>
      <c r="T334" s="50">
        <f t="shared" si="17"/>
        <v>314.99999999999994</v>
      </c>
      <c r="U334" s="50" t="str">
        <f>IF(Table13232[[#This Row],[Date]]&lt;$U$4,"","Live")</f>
        <v/>
      </c>
      <c r="V334" s="45" t="str">
        <f>TEXT(Table13232[[#This Row],[Date]],"DDD")</f>
        <v>Sat</v>
      </c>
      <c r="W334" s="45" t="str">
        <f>PROPER(TRIM(Table13232[[#This Row],[Horse]]))</f>
        <v>Headley Grange</v>
      </c>
    </row>
    <row r="335" spans="1:23" x14ac:dyDescent="0.25">
      <c r="A335" s="109">
        <v>45829</v>
      </c>
      <c r="B335" s="53">
        <v>0.65625</v>
      </c>
      <c r="C335" s="110" t="s">
        <v>13</v>
      </c>
      <c r="D335" s="111">
        <v>9</v>
      </c>
      <c r="E335" s="111">
        <v>13</v>
      </c>
      <c r="F335" s="112" t="s">
        <v>182</v>
      </c>
      <c r="G335" s="112" t="s">
        <v>21</v>
      </c>
      <c r="H335" s="113">
        <v>2.8</v>
      </c>
      <c r="I335" s="113" t="s">
        <v>298</v>
      </c>
      <c r="J335" s="45" t="str">
        <f>VLOOKUP(Table13232[[#This Row],[Track]],$C$836:$E$882,2,FALSE)</f>
        <v>NSW</v>
      </c>
      <c r="K335" s="55">
        <v>100</v>
      </c>
      <c r="L335" s="54">
        <f>IF(Table13232[[#This Row],[Fin]]&lt;&gt;"1st","",Table13232[[#This Row],[Div]]*Table13232[[#This Row],[Lev Bet]])</f>
        <v>280</v>
      </c>
      <c r="M335" s="54">
        <f>IF(Table13232[[#This Row],[Lev Ret]]="",Table13232[[#This Row],[Lev Bet]]*-1,L335-K335)</f>
        <v>180</v>
      </c>
      <c r="N335" s="135">
        <v>150</v>
      </c>
      <c r="O335" s="135">
        <f>IF(Table13232[[#This Row],[Fin]]&lt;&gt;"1st","",Table13232[[#This Row],[Div]]*Table13232[[#This Row],[Nat and Combo Bet]])</f>
        <v>420</v>
      </c>
      <c r="P335" s="135">
        <f>IF(Table13232[[#This Row],[Lev Ret]]="",Table13232[[#This Row],[Nat and Combo Bet]]*-1,O335-N335)</f>
        <v>270</v>
      </c>
      <c r="Q335" s="50">
        <f t="shared" si="15"/>
        <v>1</v>
      </c>
      <c r="R335" s="50" t="str">
        <f>IF(AND(Q334=2,Q335=1),"",IF(Q335=2,(N335+N336)/2,IF(Table13232[[#This Row],[Dual Listing]]=1,Table13232[[#This Row],[Nat and Combo Bet]],11)))</f>
        <v/>
      </c>
      <c r="S335" s="50" t="str">
        <f t="shared" si="16"/>
        <v/>
      </c>
      <c r="T335" s="50" t="str">
        <f t="shared" si="17"/>
        <v/>
      </c>
      <c r="U335" s="50" t="str">
        <f>IF(Table13232[[#This Row],[Date]]&lt;$U$4,"","Live")</f>
        <v/>
      </c>
      <c r="V335" s="45" t="str">
        <f>TEXT(Table13232[[#This Row],[Date]],"DDD")</f>
        <v>Sat</v>
      </c>
      <c r="W335" s="45" t="str">
        <f>PROPER(TRIM(Table13232[[#This Row],[Horse]]))</f>
        <v>Headley Grange</v>
      </c>
    </row>
    <row r="336" spans="1:23" x14ac:dyDescent="0.25">
      <c r="A336" s="43">
        <v>45829</v>
      </c>
      <c r="B336" s="44">
        <v>0.66666666666666663</v>
      </c>
      <c r="C336" s="44" t="s">
        <v>10</v>
      </c>
      <c r="D336" s="45">
        <v>8</v>
      </c>
      <c r="E336" s="45">
        <v>5</v>
      </c>
      <c r="F336" s="46" t="s">
        <v>433</v>
      </c>
      <c r="G336" s="46" t="s">
        <v>22</v>
      </c>
      <c r="H336" s="47"/>
      <c r="I336" s="52" t="s">
        <v>297</v>
      </c>
      <c r="J336" s="45" t="str">
        <f>VLOOKUP(Table13232[[#This Row],[Track]],$C$836:$E$882,2,FALSE)</f>
        <v>Vic</v>
      </c>
      <c r="K336" s="49">
        <v>100</v>
      </c>
      <c r="L336" s="45" t="str">
        <f>IF(Table13232[[#This Row],[Fin]]&lt;&gt;"1st","",Table13232[[#This Row],[Div]]*Table13232[[#This Row],[Lev Bet]])</f>
        <v/>
      </c>
      <c r="M336" s="45">
        <f>IF(Table13232[[#This Row],[Lev Ret]]="",Table13232[[#This Row],[Lev Bet]]*-1,L336-K336)</f>
        <v>-100</v>
      </c>
      <c r="N336" s="135">
        <v>100</v>
      </c>
      <c r="O336" s="135" t="str">
        <f>IF(Table13232[[#This Row],[Fin]]&lt;&gt;"1st","",Table13232[[#This Row],[Div]]*Table13232[[#This Row],[Nat and Combo Bet]])</f>
        <v/>
      </c>
      <c r="P336" s="135">
        <f>IF(Table13232[[#This Row],[Lev Ret]]="",Table13232[[#This Row],[Nat and Combo Bet]]*-1,O336-N336)</f>
        <v>-100</v>
      </c>
      <c r="Q336" s="50">
        <f t="shared" si="15"/>
        <v>1</v>
      </c>
      <c r="R336" s="50">
        <f>IF(AND(Q335=2,Q336=1),"",IF(Q336=2,(N336+N337)/2,IF(Table13232[[#This Row],[Dual Listing]]=1,Table13232[[#This Row],[Nat and Combo Bet]],11)))</f>
        <v>100</v>
      </c>
      <c r="S336" s="50" t="str">
        <f t="shared" si="16"/>
        <v/>
      </c>
      <c r="T336" s="50">
        <f t="shared" si="17"/>
        <v>-100</v>
      </c>
      <c r="U336" s="50" t="str">
        <f>IF(Table13232[[#This Row],[Date]]&lt;$U$4,"","Live")</f>
        <v/>
      </c>
      <c r="V336" s="45" t="str">
        <f>TEXT(Table13232[[#This Row],[Date]],"DDD")</f>
        <v>Sat</v>
      </c>
      <c r="W336" s="45" t="str">
        <f>PROPER(TRIM(Table13232[[#This Row],[Horse]]))</f>
        <v>Holymanz</v>
      </c>
    </row>
    <row r="337" spans="1:23" x14ac:dyDescent="0.25">
      <c r="A337" s="109">
        <v>45829</v>
      </c>
      <c r="B337" s="53">
        <v>0.66666666666666663</v>
      </c>
      <c r="C337" s="110" t="s">
        <v>10</v>
      </c>
      <c r="D337" s="111">
        <v>8</v>
      </c>
      <c r="E337" s="111">
        <v>3</v>
      </c>
      <c r="F337" s="112" t="s">
        <v>172</v>
      </c>
      <c r="G337" s="112" t="s">
        <v>21</v>
      </c>
      <c r="H337" s="113">
        <v>2.9</v>
      </c>
      <c r="I337" s="114" t="s">
        <v>297</v>
      </c>
      <c r="J337" s="45" t="str">
        <f>VLOOKUP(Table13232[[#This Row],[Track]],$C$836:$E$882,2,FALSE)</f>
        <v>Vic</v>
      </c>
      <c r="K337" s="55">
        <v>100</v>
      </c>
      <c r="L337" s="54">
        <f>IF(Table13232[[#This Row],[Fin]]&lt;&gt;"1st","",Table13232[[#This Row],[Div]]*Table13232[[#This Row],[Lev Bet]])</f>
        <v>290</v>
      </c>
      <c r="M337" s="54">
        <f>IF(Table13232[[#This Row],[Lev Ret]]="",Table13232[[#This Row],[Lev Bet]]*-1,L337-K337)</f>
        <v>190</v>
      </c>
      <c r="N337" s="135">
        <v>160</v>
      </c>
      <c r="O337" s="135">
        <f>IF(Table13232[[#This Row],[Fin]]&lt;&gt;"1st","",Table13232[[#This Row],[Div]]*Table13232[[#This Row],[Nat and Combo Bet]])</f>
        <v>464</v>
      </c>
      <c r="P337" s="135">
        <f>IF(Table13232[[#This Row],[Lev Ret]]="",Table13232[[#This Row],[Nat and Combo Bet]]*-1,O337-N337)</f>
        <v>304</v>
      </c>
      <c r="Q337" s="50">
        <f t="shared" si="15"/>
        <v>2</v>
      </c>
      <c r="R337" s="50">
        <f>IF(AND(Q336=2,Q337=1),"",IF(Q337=2,(N337+N338)/2,IF(Table13232[[#This Row],[Dual Listing]]=1,Table13232[[#This Row],[Nat and Combo Bet]],11)))</f>
        <v>130</v>
      </c>
      <c r="S337" s="50">
        <f t="shared" si="16"/>
        <v>377</v>
      </c>
      <c r="T337" s="50">
        <f t="shared" si="17"/>
        <v>247</v>
      </c>
      <c r="U337" s="50" t="str">
        <f>IF(Table13232[[#This Row],[Date]]&lt;$U$4,"","Live")</f>
        <v/>
      </c>
      <c r="V337" s="45" t="str">
        <f>TEXT(Table13232[[#This Row],[Date]],"DDD")</f>
        <v>Sat</v>
      </c>
      <c r="W337" s="45" t="str">
        <f>PROPER(TRIM(Table13232[[#This Row],[Horse]]))</f>
        <v>Jimmy The Bear</v>
      </c>
    </row>
    <row r="338" spans="1:23" x14ac:dyDescent="0.25">
      <c r="A338" s="109">
        <v>45829</v>
      </c>
      <c r="B338" s="53">
        <v>0.66666666666666663</v>
      </c>
      <c r="C338" s="110" t="s">
        <v>10</v>
      </c>
      <c r="D338" s="111">
        <v>8</v>
      </c>
      <c r="E338" s="111">
        <v>3</v>
      </c>
      <c r="F338" s="112" t="s">
        <v>172</v>
      </c>
      <c r="G338" s="112" t="s">
        <v>21</v>
      </c>
      <c r="H338" s="113">
        <v>2.9</v>
      </c>
      <c r="I338" s="113" t="s">
        <v>298</v>
      </c>
      <c r="J338" s="45" t="str">
        <f>VLOOKUP(Table13232[[#This Row],[Track]],$C$836:$E$882,2,FALSE)</f>
        <v>Vic</v>
      </c>
      <c r="K338" s="55">
        <v>100</v>
      </c>
      <c r="L338" s="54">
        <f>IF(Table13232[[#This Row],[Fin]]&lt;&gt;"1st","",Table13232[[#This Row],[Div]]*Table13232[[#This Row],[Lev Bet]])</f>
        <v>290</v>
      </c>
      <c r="M338" s="54">
        <f>IF(Table13232[[#This Row],[Lev Ret]]="",Table13232[[#This Row],[Lev Bet]]*-1,L338-K338)</f>
        <v>190</v>
      </c>
      <c r="N338" s="135">
        <v>100</v>
      </c>
      <c r="O338" s="135">
        <f>IF(Table13232[[#This Row],[Fin]]&lt;&gt;"1st","",Table13232[[#This Row],[Div]]*Table13232[[#This Row],[Nat and Combo Bet]])</f>
        <v>290</v>
      </c>
      <c r="P338" s="135">
        <f>IF(Table13232[[#This Row],[Lev Ret]]="",Table13232[[#This Row],[Nat and Combo Bet]]*-1,O338-N338)</f>
        <v>190</v>
      </c>
      <c r="Q338" s="50">
        <f t="shared" si="15"/>
        <v>1</v>
      </c>
      <c r="R338" s="50" t="str">
        <f>IF(AND(Q337=2,Q338=1),"",IF(Q338=2,(N338+N339)/2,IF(Table13232[[#This Row],[Dual Listing]]=1,Table13232[[#This Row],[Nat and Combo Bet]],11)))</f>
        <v/>
      </c>
      <c r="S338" s="50" t="str">
        <f t="shared" si="16"/>
        <v/>
      </c>
      <c r="T338" s="50" t="str">
        <f t="shared" si="17"/>
        <v/>
      </c>
      <c r="U338" s="50" t="str">
        <f>IF(Table13232[[#This Row],[Date]]&lt;$U$4,"","Live")</f>
        <v/>
      </c>
      <c r="V338" s="45" t="str">
        <f>TEXT(Table13232[[#This Row],[Date]],"DDD")</f>
        <v>Sat</v>
      </c>
      <c r="W338" s="45" t="str">
        <f>PROPER(TRIM(Table13232[[#This Row],[Horse]]))</f>
        <v>Jimmy The Bear</v>
      </c>
    </row>
    <row r="339" spans="1:23" x14ac:dyDescent="0.25">
      <c r="A339" s="43">
        <v>45829</v>
      </c>
      <c r="B339" s="44">
        <v>0.6875</v>
      </c>
      <c r="C339" s="44" t="s">
        <v>497</v>
      </c>
      <c r="D339" s="45">
        <v>9</v>
      </c>
      <c r="E339" s="45">
        <v>16</v>
      </c>
      <c r="F339" s="46" t="s">
        <v>500</v>
      </c>
      <c r="G339" s="46" t="s">
        <v>22</v>
      </c>
      <c r="H339" s="47"/>
      <c r="I339" s="47" t="s">
        <v>298</v>
      </c>
      <c r="J339" s="45" t="str">
        <f>VLOOKUP(Table13232[[#This Row],[Track]],$C$836:$E$882,2,FALSE)</f>
        <v>Qld</v>
      </c>
      <c r="K339" s="49">
        <v>100</v>
      </c>
      <c r="L339" s="45" t="str">
        <f>IF(Table13232[[#This Row],[Fin]]&lt;&gt;"1st","",Table13232[[#This Row],[Div]]*Table13232[[#This Row],[Lev Bet]])</f>
        <v/>
      </c>
      <c r="M339" s="45">
        <f>IF(Table13232[[#This Row],[Lev Ret]]="",Table13232[[#This Row],[Lev Bet]]*-1,L339-K339)</f>
        <v>-100</v>
      </c>
      <c r="N339" s="135">
        <v>100</v>
      </c>
      <c r="O339" s="135" t="str">
        <f>IF(Table13232[[#This Row],[Fin]]&lt;&gt;"1st","",Table13232[[#This Row],[Div]]*Table13232[[#This Row],[Nat and Combo Bet]])</f>
        <v/>
      </c>
      <c r="P339" s="135">
        <f>IF(Table13232[[#This Row],[Lev Ret]]="",Table13232[[#This Row],[Nat and Combo Bet]]*-1,O339-N339)</f>
        <v>-100</v>
      </c>
      <c r="Q339" s="50">
        <f t="shared" si="15"/>
        <v>1</v>
      </c>
      <c r="R339" s="50">
        <f>IF(AND(Q338=2,Q339=1),"",IF(Q339=2,(N339+N340)/2,IF(Table13232[[#This Row],[Dual Listing]]=1,Table13232[[#This Row],[Nat and Combo Bet]],11)))</f>
        <v>100</v>
      </c>
      <c r="S339" s="50" t="str">
        <f t="shared" si="16"/>
        <v/>
      </c>
      <c r="T339" s="50">
        <f t="shared" si="17"/>
        <v>-100</v>
      </c>
      <c r="U339" s="50" t="str">
        <f>IF(Table13232[[#This Row],[Date]]&lt;$U$4,"","Live")</f>
        <v/>
      </c>
      <c r="V339" s="45" t="str">
        <f>TEXT(Table13232[[#This Row],[Date]],"DDD")</f>
        <v>Sat</v>
      </c>
      <c r="W339" s="45" t="str">
        <f>PROPER(TRIM(Table13232[[#This Row],[Horse]]))</f>
        <v>Gerringong</v>
      </c>
    </row>
    <row r="340" spans="1:23" x14ac:dyDescent="0.25">
      <c r="A340" s="43">
        <v>45836</v>
      </c>
      <c r="B340" s="44">
        <v>0.51249999999999996</v>
      </c>
      <c r="C340" s="44" t="s">
        <v>12</v>
      </c>
      <c r="D340" s="45">
        <v>2</v>
      </c>
      <c r="E340" s="45">
        <v>10</v>
      </c>
      <c r="F340" s="46" t="s">
        <v>107</v>
      </c>
      <c r="G340" s="46"/>
      <c r="H340" s="47"/>
      <c r="I340" s="47" t="s">
        <v>298</v>
      </c>
      <c r="J340" s="45" t="str">
        <f>VLOOKUP(Table13232[[#This Row],[Track]],$C$836:$E$882,2,FALSE)</f>
        <v>Qld</v>
      </c>
      <c r="K340" s="49">
        <v>100</v>
      </c>
      <c r="L340" s="45" t="str">
        <f>IF(Table13232[[#This Row],[Fin]]&lt;&gt;"1st","",Table13232[[#This Row],[Div]]*Table13232[[#This Row],[Lev Bet]])</f>
        <v/>
      </c>
      <c r="M340" s="45">
        <f>IF(Table13232[[#This Row],[Lev Ret]]="",Table13232[[#This Row],[Lev Bet]]*-1,L340-K340)</f>
        <v>-100</v>
      </c>
      <c r="N340" s="135">
        <v>100</v>
      </c>
      <c r="O340" s="135" t="str">
        <f>IF(Table13232[[#This Row],[Fin]]&lt;&gt;"1st","",Table13232[[#This Row],[Div]]*Table13232[[#This Row],[Nat and Combo Bet]])</f>
        <v/>
      </c>
      <c r="P340" s="135">
        <f>IF(Table13232[[#This Row],[Lev Ret]]="",Table13232[[#This Row],[Nat and Combo Bet]]*-1,O340-N340)</f>
        <v>-100</v>
      </c>
      <c r="Q340" s="50">
        <f t="shared" si="15"/>
        <v>1</v>
      </c>
      <c r="R340" s="50">
        <f>IF(AND(Q339=2,Q340=1),"",IF(Q340=2,(N340+N341)/2,IF(Table13232[[#This Row],[Dual Listing]]=1,Table13232[[#This Row],[Nat and Combo Bet]],11)))</f>
        <v>100</v>
      </c>
      <c r="S340" s="50" t="str">
        <f t="shared" si="16"/>
        <v/>
      </c>
      <c r="T340" s="50">
        <f t="shared" si="17"/>
        <v>-100</v>
      </c>
      <c r="U340" s="50" t="str">
        <f>IF(Table13232[[#This Row],[Date]]&lt;$U$4,"","Live")</f>
        <v/>
      </c>
      <c r="V340" s="45" t="str">
        <f>TEXT(Table13232[[#This Row],[Date]],"DDD")</f>
        <v>Sat</v>
      </c>
      <c r="W340" s="45" t="str">
        <f>PROPER(TRIM(Table13232[[#This Row],[Horse]]))</f>
        <v>Termagant</v>
      </c>
    </row>
    <row r="341" spans="1:23" x14ac:dyDescent="0.25">
      <c r="A341" s="43">
        <v>45836</v>
      </c>
      <c r="B341" s="44">
        <v>0.55555555555555558</v>
      </c>
      <c r="C341" s="44" t="s">
        <v>11</v>
      </c>
      <c r="D341" s="45">
        <v>5</v>
      </c>
      <c r="E341" s="45">
        <v>3</v>
      </c>
      <c r="F341" s="46" t="s">
        <v>184</v>
      </c>
      <c r="G341" s="46"/>
      <c r="H341" s="47"/>
      <c r="I341" s="47" t="s">
        <v>298</v>
      </c>
      <c r="J341" s="45" t="str">
        <f>VLOOKUP(Table13232[[#This Row],[Track]],$C$836:$E$882,2,FALSE)</f>
        <v>NSW</v>
      </c>
      <c r="K341" s="49">
        <v>100</v>
      </c>
      <c r="L341" s="45" t="str">
        <f>IF(Table13232[[#This Row],[Fin]]&lt;&gt;"1st","",Table13232[[#This Row],[Div]]*Table13232[[#This Row],[Lev Bet]])</f>
        <v/>
      </c>
      <c r="M341" s="45">
        <f>IF(Table13232[[#This Row],[Lev Ret]]="",Table13232[[#This Row],[Lev Bet]]*-1,L341-K341)</f>
        <v>-100</v>
      </c>
      <c r="N341" s="135">
        <v>150</v>
      </c>
      <c r="O341" s="135" t="str">
        <f>IF(Table13232[[#This Row],[Fin]]&lt;&gt;"1st","",Table13232[[#This Row],[Div]]*Table13232[[#This Row],[Nat and Combo Bet]])</f>
        <v/>
      </c>
      <c r="P341" s="135">
        <f>IF(Table13232[[#This Row],[Lev Ret]]="",Table13232[[#This Row],[Nat and Combo Bet]]*-1,O341-N341)</f>
        <v>-150</v>
      </c>
      <c r="Q341" s="50">
        <f t="shared" si="15"/>
        <v>1</v>
      </c>
      <c r="R341" s="50">
        <f>IF(AND(Q340=2,Q341=1),"",IF(Q341=2,(N341+N342)/2,IF(Table13232[[#This Row],[Dual Listing]]=1,Table13232[[#This Row],[Nat and Combo Bet]],11)))</f>
        <v>150</v>
      </c>
      <c r="S341" s="50" t="str">
        <f t="shared" si="16"/>
        <v/>
      </c>
      <c r="T341" s="50">
        <f t="shared" si="17"/>
        <v>-150</v>
      </c>
      <c r="U341" s="50" t="str">
        <f>IF(Table13232[[#This Row],[Date]]&lt;$U$4,"","Live")</f>
        <v/>
      </c>
      <c r="V341" s="45" t="str">
        <f>TEXT(Table13232[[#This Row],[Date]],"DDD")</f>
        <v>Sat</v>
      </c>
      <c r="W341" s="45" t="str">
        <f>PROPER(TRIM(Table13232[[#This Row],[Horse]]))</f>
        <v>Livin Thing</v>
      </c>
    </row>
    <row r="342" spans="1:23" x14ac:dyDescent="0.25">
      <c r="A342" s="43">
        <v>45836</v>
      </c>
      <c r="B342" s="44">
        <v>0.56597222222222221</v>
      </c>
      <c r="C342" s="44" t="s">
        <v>34</v>
      </c>
      <c r="D342" s="45">
        <v>4</v>
      </c>
      <c r="E342" s="45">
        <v>1</v>
      </c>
      <c r="F342" s="46" t="s">
        <v>185</v>
      </c>
      <c r="G342" s="46"/>
      <c r="H342" s="47"/>
      <c r="I342" s="47" t="s">
        <v>298</v>
      </c>
      <c r="J342" s="45" t="str">
        <f>VLOOKUP(Table13232[[#This Row],[Track]],$C$836:$E$882,2,FALSE)</f>
        <v>Vic</v>
      </c>
      <c r="K342" s="49">
        <v>100</v>
      </c>
      <c r="L342" s="45" t="str">
        <f>IF(Table13232[[#This Row],[Fin]]&lt;&gt;"1st","",Table13232[[#This Row],[Div]]*Table13232[[#This Row],[Lev Bet]])</f>
        <v/>
      </c>
      <c r="M342" s="45">
        <f>IF(Table13232[[#This Row],[Lev Ret]]="",Table13232[[#This Row],[Lev Bet]]*-1,L342-K342)</f>
        <v>-100</v>
      </c>
      <c r="N342" s="135">
        <v>100</v>
      </c>
      <c r="O342" s="135" t="str">
        <f>IF(Table13232[[#This Row],[Fin]]&lt;&gt;"1st","",Table13232[[#This Row],[Div]]*Table13232[[#This Row],[Nat and Combo Bet]])</f>
        <v/>
      </c>
      <c r="P342" s="135">
        <f>IF(Table13232[[#This Row],[Lev Ret]]="",Table13232[[#This Row],[Nat and Combo Bet]]*-1,O342-N342)</f>
        <v>-100</v>
      </c>
      <c r="Q342" s="50">
        <f t="shared" si="15"/>
        <v>1</v>
      </c>
      <c r="R342" s="50">
        <f>IF(AND(Q341=2,Q342=1),"",IF(Q342=2,(N342+N343)/2,IF(Table13232[[#This Row],[Dual Listing]]=1,Table13232[[#This Row],[Nat and Combo Bet]],11)))</f>
        <v>100</v>
      </c>
      <c r="S342" s="50" t="str">
        <f t="shared" si="16"/>
        <v/>
      </c>
      <c r="T342" s="50">
        <f t="shared" si="17"/>
        <v>-100</v>
      </c>
      <c r="U342" s="50" t="str">
        <f>IF(Table13232[[#This Row],[Date]]&lt;$U$4,"","Live")</f>
        <v/>
      </c>
      <c r="V342" s="45" t="str">
        <f>TEXT(Table13232[[#This Row],[Date]],"DDD")</f>
        <v>Sat</v>
      </c>
      <c r="W342" s="45" t="str">
        <f>PROPER(TRIM(Table13232[[#This Row],[Horse]]))</f>
        <v>Just For Show</v>
      </c>
    </row>
    <row r="343" spans="1:23" x14ac:dyDescent="0.25">
      <c r="A343" s="43">
        <v>45836</v>
      </c>
      <c r="B343" s="44">
        <v>0.58819444444444446</v>
      </c>
      <c r="C343" s="44" t="s">
        <v>12</v>
      </c>
      <c r="D343" s="45">
        <v>5</v>
      </c>
      <c r="E343" s="45">
        <v>3</v>
      </c>
      <c r="F343" s="46" t="s">
        <v>186</v>
      </c>
      <c r="G343" s="46" t="s">
        <v>23</v>
      </c>
      <c r="H343" s="47"/>
      <c r="I343" s="47" t="s">
        <v>298</v>
      </c>
      <c r="J343" s="45" t="str">
        <f>VLOOKUP(Table13232[[#This Row],[Track]],$C$836:$E$882,2,FALSE)</f>
        <v>Qld</v>
      </c>
      <c r="K343" s="49">
        <v>100</v>
      </c>
      <c r="L343" s="45" t="str">
        <f>IF(Table13232[[#This Row],[Fin]]&lt;&gt;"1st","",Table13232[[#This Row],[Div]]*Table13232[[#This Row],[Lev Bet]])</f>
        <v/>
      </c>
      <c r="M343" s="45">
        <f>IF(Table13232[[#This Row],[Lev Ret]]="",Table13232[[#This Row],[Lev Bet]]*-1,L343-K343)</f>
        <v>-100</v>
      </c>
      <c r="N343" s="135">
        <v>100</v>
      </c>
      <c r="O343" s="135" t="str">
        <f>IF(Table13232[[#This Row],[Fin]]&lt;&gt;"1st","",Table13232[[#This Row],[Div]]*Table13232[[#This Row],[Nat and Combo Bet]])</f>
        <v/>
      </c>
      <c r="P343" s="135">
        <f>IF(Table13232[[#This Row],[Lev Ret]]="",Table13232[[#This Row],[Nat and Combo Bet]]*-1,O343-N343)</f>
        <v>-100</v>
      </c>
      <c r="Q343" s="50">
        <f t="shared" si="15"/>
        <v>1</v>
      </c>
      <c r="R343" s="50">
        <f>IF(AND(Q342=2,Q343=1),"",IF(Q343=2,(N343+N344)/2,IF(Table13232[[#This Row],[Dual Listing]]=1,Table13232[[#This Row],[Nat and Combo Bet]],11)))</f>
        <v>100</v>
      </c>
      <c r="S343" s="50" t="str">
        <f t="shared" si="16"/>
        <v/>
      </c>
      <c r="T343" s="50">
        <f t="shared" si="17"/>
        <v>-100</v>
      </c>
      <c r="U343" s="50" t="str">
        <f>IF(Table13232[[#This Row],[Date]]&lt;$U$4,"","Live")</f>
        <v/>
      </c>
      <c r="V343" s="45" t="str">
        <f>TEXT(Table13232[[#This Row],[Date]],"DDD")</f>
        <v>Sat</v>
      </c>
      <c r="W343" s="45" t="str">
        <f>PROPER(TRIM(Table13232[[#This Row],[Horse]]))</f>
        <v>Bankers Choice</v>
      </c>
    </row>
    <row r="344" spans="1:23" x14ac:dyDescent="0.25">
      <c r="A344" s="43">
        <v>45836</v>
      </c>
      <c r="B344" s="44">
        <v>0.59375</v>
      </c>
      <c r="C344" s="44" t="s">
        <v>34</v>
      </c>
      <c r="D344" s="45">
        <v>5</v>
      </c>
      <c r="E344" s="45">
        <v>14</v>
      </c>
      <c r="F344" s="46" t="s">
        <v>187</v>
      </c>
      <c r="G344" s="46"/>
      <c r="H344" s="47"/>
      <c r="I344" s="47" t="s">
        <v>298</v>
      </c>
      <c r="J344" s="45" t="str">
        <f>VLOOKUP(Table13232[[#This Row],[Track]],$C$836:$E$882,2,FALSE)</f>
        <v>Vic</v>
      </c>
      <c r="K344" s="49">
        <v>100</v>
      </c>
      <c r="L344" s="45" t="str">
        <f>IF(Table13232[[#This Row],[Fin]]&lt;&gt;"1st","",Table13232[[#This Row],[Div]]*Table13232[[#This Row],[Lev Bet]])</f>
        <v/>
      </c>
      <c r="M344" s="45">
        <f>IF(Table13232[[#This Row],[Lev Ret]]="",Table13232[[#This Row],[Lev Bet]]*-1,L344-K344)</f>
        <v>-100</v>
      </c>
      <c r="N344" s="135">
        <v>100</v>
      </c>
      <c r="O344" s="135" t="str">
        <f>IF(Table13232[[#This Row],[Fin]]&lt;&gt;"1st","",Table13232[[#This Row],[Div]]*Table13232[[#This Row],[Nat and Combo Bet]])</f>
        <v/>
      </c>
      <c r="P344" s="135">
        <f>IF(Table13232[[#This Row],[Lev Ret]]="",Table13232[[#This Row],[Nat and Combo Bet]]*-1,O344-N344)</f>
        <v>-100</v>
      </c>
      <c r="Q344" s="50">
        <f t="shared" si="15"/>
        <v>1</v>
      </c>
      <c r="R344" s="50">
        <f>IF(AND(Q343=2,Q344=1),"",IF(Q344=2,(N344+N345)/2,IF(Table13232[[#This Row],[Dual Listing]]=1,Table13232[[#This Row],[Nat and Combo Bet]],11)))</f>
        <v>100</v>
      </c>
      <c r="S344" s="50" t="str">
        <f t="shared" si="16"/>
        <v/>
      </c>
      <c r="T344" s="50">
        <f t="shared" si="17"/>
        <v>-100</v>
      </c>
      <c r="U344" s="50" t="str">
        <f>IF(Table13232[[#This Row],[Date]]&lt;$U$4,"","Live")</f>
        <v/>
      </c>
      <c r="V344" s="45" t="str">
        <f>TEXT(Table13232[[#This Row],[Date]],"DDD")</f>
        <v>Sat</v>
      </c>
      <c r="W344" s="45" t="str">
        <f>PROPER(TRIM(Table13232[[#This Row],[Horse]]))</f>
        <v>Captain Electric</v>
      </c>
    </row>
    <row r="345" spans="1:23" x14ac:dyDescent="0.25">
      <c r="A345" s="43">
        <v>45836</v>
      </c>
      <c r="B345" s="44">
        <v>0.62152777777777779</v>
      </c>
      <c r="C345" s="44" t="s">
        <v>34</v>
      </c>
      <c r="D345" s="45">
        <v>6</v>
      </c>
      <c r="E345" s="45">
        <v>3</v>
      </c>
      <c r="F345" s="46" t="s">
        <v>56</v>
      </c>
      <c r="G345" s="46" t="s">
        <v>23</v>
      </c>
      <c r="H345" s="47"/>
      <c r="I345" s="52" t="s">
        <v>297</v>
      </c>
      <c r="J345" s="45" t="str">
        <f>VLOOKUP(Table13232[[#This Row],[Track]],$C$836:$E$882,2,FALSE)</f>
        <v>Vic</v>
      </c>
      <c r="K345" s="49">
        <v>100</v>
      </c>
      <c r="L345" s="45" t="str">
        <f>IF(Table13232[[#This Row],[Fin]]&lt;&gt;"1st","",Table13232[[#This Row],[Div]]*Table13232[[#This Row],[Lev Bet]])</f>
        <v/>
      </c>
      <c r="M345" s="45">
        <f>IF(Table13232[[#This Row],[Lev Ret]]="",Table13232[[#This Row],[Lev Bet]]*-1,L345-K345)</f>
        <v>-100</v>
      </c>
      <c r="N345" s="135">
        <v>150</v>
      </c>
      <c r="O345" s="135" t="str">
        <f>IF(Table13232[[#This Row],[Fin]]&lt;&gt;"1st","",Table13232[[#This Row],[Div]]*Table13232[[#This Row],[Nat and Combo Bet]])</f>
        <v/>
      </c>
      <c r="P345" s="135">
        <f>IF(Table13232[[#This Row],[Lev Ret]]="",Table13232[[#This Row],[Nat and Combo Bet]]*-1,O345-N345)</f>
        <v>-150</v>
      </c>
      <c r="Q345" s="50">
        <f t="shared" si="15"/>
        <v>1</v>
      </c>
      <c r="R345" s="50">
        <f>IF(AND(Q344=2,Q345=1),"",IF(Q345=2,(N345+N346)/2,IF(Table13232[[#This Row],[Dual Listing]]=1,Table13232[[#This Row],[Nat and Combo Bet]],11)))</f>
        <v>150</v>
      </c>
      <c r="S345" s="50" t="str">
        <f t="shared" si="16"/>
        <v/>
      </c>
      <c r="T345" s="50">
        <f t="shared" si="17"/>
        <v>-150</v>
      </c>
      <c r="U345" s="50" t="str">
        <f>IF(Table13232[[#This Row],[Date]]&lt;$U$4,"","Live")</f>
        <v/>
      </c>
      <c r="V345" s="45" t="str">
        <f>TEXT(Table13232[[#This Row],[Date]],"DDD")</f>
        <v>Sat</v>
      </c>
      <c r="W345" s="45" t="str">
        <f>PROPER(TRIM(Table13232[[#This Row],[Horse]]))</f>
        <v>The Black Cloud</v>
      </c>
    </row>
    <row r="346" spans="1:23" x14ac:dyDescent="0.25">
      <c r="A346" s="43">
        <v>45836</v>
      </c>
      <c r="B346" s="44">
        <v>0.64097222222222228</v>
      </c>
      <c r="C346" s="44" t="s">
        <v>12</v>
      </c>
      <c r="D346" s="45">
        <v>7</v>
      </c>
      <c r="E346" s="45">
        <v>6</v>
      </c>
      <c r="F346" s="46" t="s">
        <v>188</v>
      </c>
      <c r="G346" s="46" t="s">
        <v>21</v>
      </c>
      <c r="H346" s="47">
        <v>4.5999999999999996</v>
      </c>
      <c r="I346" s="47" t="s">
        <v>298</v>
      </c>
      <c r="J346" s="45" t="str">
        <f>VLOOKUP(Table13232[[#This Row],[Track]],$C$836:$E$882,2,FALSE)</f>
        <v>Qld</v>
      </c>
      <c r="K346" s="49">
        <v>100</v>
      </c>
      <c r="L346" s="45">
        <f>IF(Table13232[[#This Row],[Fin]]&lt;&gt;"1st","",Table13232[[#This Row],[Div]]*Table13232[[#This Row],[Lev Bet]])</f>
        <v>459.99999999999994</v>
      </c>
      <c r="M346" s="45">
        <f>IF(Table13232[[#This Row],[Lev Ret]]="",Table13232[[#This Row],[Lev Bet]]*-1,L346-K346)</f>
        <v>359.99999999999994</v>
      </c>
      <c r="N346" s="135">
        <v>100</v>
      </c>
      <c r="O346" s="135">
        <f>IF(Table13232[[#This Row],[Fin]]&lt;&gt;"1st","",Table13232[[#This Row],[Div]]*Table13232[[#This Row],[Nat and Combo Bet]])</f>
        <v>459.99999999999994</v>
      </c>
      <c r="P346" s="135">
        <f>IF(Table13232[[#This Row],[Lev Ret]]="",Table13232[[#This Row],[Nat and Combo Bet]]*-1,O346-N346)</f>
        <v>359.99999999999994</v>
      </c>
      <c r="Q346" s="50">
        <f t="shared" si="15"/>
        <v>1</v>
      </c>
      <c r="R346" s="50">
        <f>IF(AND(Q345=2,Q346=1),"",IF(Q346=2,(N346+N347)/2,IF(Table13232[[#This Row],[Dual Listing]]=1,Table13232[[#This Row],[Nat and Combo Bet]],11)))</f>
        <v>100</v>
      </c>
      <c r="S346" s="50">
        <f t="shared" si="16"/>
        <v>459.99999999999994</v>
      </c>
      <c r="T346" s="50">
        <f t="shared" si="17"/>
        <v>359.99999999999994</v>
      </c>
      <c r="U346" s="50" t="str">
        <f>IF(Table13232[[#This Row],[Date]]&lt;$U$4,"","Live")</f>
        <v/>
      </c>
      <c r="V346" s="45" t="str">
        <f>TEXT(Table13232[[#This Row],[Date]],"DDD")</f>
        <v>Sat</v>
      </c>
      <c r="W346" s="45" t="str">
        <f>PROPER(TRIM(Table13232[[#This Row],[Horse]]))</f>
        <v>The Inflictor</v>
      </c>
    </row>
    <row r="347" spans="1:23" x14ac:dyDescent="0.25">
      <c r="A347" s="43">
        <v>45836</v>
      </c>
      <c r="B347" s="44">
        <v>0.67013888888888884</v>
      </c>
      <c r="C347" s="44" t="s">
        <v>34</v>
      </c>
      <c r="D347" s="45">
        <v>8</v>
      </c>
      <c r="E347" s="45">
        <v>4</v>
      </c>
      <c r="F347" s="46" t="s">
        <v>434</v>
      </c>
      <c r="G347" s="46" t="s">
        <v>23</v>
      </c>
      <c r="H347" s="47"/>
      <c r="I347" s="52" t="s">
        <v>297</v>
      </c>
      <c r="J347" s="45" t="str">
        <f>VLOOKUP(Table13232[[#This Row],[Track]],$C$836:$E$882,2,FALSE)</f>
        <v>Vic</v>
      </c>
      <c r="K347" s="49">
        <v>100</v>
      </c>
      <c r="L347" s="45" t="str">
        <f>IF(Table13232[[#This Row],[Fin]]&lt;&gt;"1st","",Table13232[[#This Row],[Div]]*Table13232[[#This Row],[Lev Bet]])</f>
        <v/>
      </c>
      <c r="M347" s="45">
        <f>IF(Table13232[[#This Row],[Lev Ret]]="",Table13232[[#This Row],[Lev Bet]]*-1,L347-K347)</f>
        <v>-100</v>
      </c>
      <c r="N347" s="135">
        <v>100</v>
      </c>
      <c r="O347" s="135" t="str">
        <f>IF(Table13232[[#This Row],[Fin]]&lt;&gt;"1st","",Table13232[[#This Row],[Div]]*Table13232[[#This Row],[Nat and Combo Bet]])</f>
        <v/>
      </c>
      <c r="P347" s="135">
        <f>IF(Table13232[[#This Row],[Lev Ret]]="",Table13232[[#This Row],[Nat and Combo Bet]]*-1,O347-N347)</f>
        <v>-100</v>
      </c>
      <c r="Q347" s="50">
        <f t="shared" si="15"/>
        <v>1</v>
      </c>
      <c r="R347" s="50">
        <f>IF(AND(Q346=2,Q347=1),"",IF(Q347=2,(N347+N348)/2,IF(Table13232[[#This Row],[Dual Listing]]=1,Table13232[[#This Row],[Nat and Combo Bet]],11)))</f>
        <v>100</v>
      </c>
      <c r="S347" s="50" t="str">
        <f t="shared" si="16"/>
        <v/>
      </c>
      <c r="T347" s="50">
        <f t="shared" si="17"/>
        <v>-100</v>
      </c>
      <c r="U347" s="50" t="str">
        <f>IF(Table13232[[#This Row],[Date]]&lt;$U$4,"","Live")</f>
        <v/>
      </c>
      <c r="V347" s="45" t="str">
        <f>TEXT(Table13232[[#This Row],[Date]],"DDD")</f>
        <v>Sat</v>
      </c>
      <c r="W347" s="45" t="str">
        <f>PROPER(TRIM(Table13232[[#This Row],[Horse]]))</f>
        <v>Earlswood</v>
      </c>
    </row>
    <row r="348" spans="1:23" x14ac:dyDescent="0.25">
      <c r="A348" s="109">
        <v>45836</v>
      </c>
      <c r="B348" s="53">
        <v>0.6875</v>
      </c>
      <c r="C348" s="110" t="s">
        <v>11</v>
      </c>
      <c r="D348" s="111">
        <v>10</v>
      </c>
      <c r="E348" s="111">
        <v>12</v>
      </c>
      <c r="F348" s="112" t="s">
        <v>189</v>
      </c>
      <c r="G348" s="112" t="s">
        <v>22</v>
      </c>
      <c r="H348" s="113"/>
      <c r="I348" s="114" t="s">
        <v>297</v>
      </c>
      <c r="J348" s="45" t="str">
        <f>VLOOKUP(Table13232[[#This Row],[Track]],$C$836:$E$882,2,FALSE)</f>
        <v>NSW</v>
      </c>
      <c r="K348" s="55">
        <v>100</v>
      </c>
      <c r="L348" s="54" t="str">
        <f>IF(Table13232[[#This Row],[Fin]]&lt;&gt;"1st","",Table13232[[#This Row],[Div]]*Table13232[[#This Row],[Lev Bet]])</f>
        <v/>
      </c>
      <c r="M348" s="54">
        <f>IF(Table13232[[#This Row],[Lev Ret]]="",Table13232[[#This Row],[Lev Bet]]*-1,L348-K348)</f>
        <v>-100</v>
      </c>
      <c r="N348" s="135">
        <v>150</v>
      </c>
      <c r="O348" s="135" t="str">
        <f>IF(Table13232[[#This Row],[Fin]]&lt;&gt;"1st","",Table13232[[#This Row],[Div]]*Table13232[[#This Row],[Nat and Combo Bet]])</f>
        <v/>
      </c>
      <c r="P348" s="135">
        <f>IF(Table13232[[#This Row],[Lev Ret]]="",Table13232[[#This Row],[Nat and Combo Bet]]*-1,O348-N348)</f>
        <v>-150</v>
      </c>
      <c r="Q348" s="50">
        <f t="shared" si="15"/>
        <v>2</v>
      </c>
      <c r="R348" s="50">
        <f>IF(AND(Q347=2,Q348=1),"",IF(Q348=2,(N348+N349)/2,IF(Table13232[[#This Row],[Dual Listing]]=1,Table13232[[#This Row],[Nat and Combo Bet]],11)))</f>
        <v>150</v>
      </c>
      <c r="S348" s="50" t="str">
        <f t="shared" si="16"/>
        <v/>
      </c>
      <c r="T348" s="50">
        <f t="shared" si="17"/>
        <v>-150</v>
      </c>
      <c r="U348" s="50" t="str">
        <f>IF(Table13232[[#This Row],[Date]]&lt;$U$4,"","Live")</f>
        <v/>
      </c>
      <c r="V348" s="45" t="str">
        <f>TEXT(Table13232[[#This Row],[Date]],"DDD")</f>
        <v>Sat</v>
      </c>
      <c r="W348" s="45" t="str">
        <f>PROPER(TRIM(Table13232[[#This Row],[Horse]]))</f>
        <v>Snack Bar</v>
      </c>
    </row>
    <row r="349" spans="1:23" x14ac:dyDescent="0.25">
      <c r="A349" s="109">
        <v>45836</v>
      </c>
      <c r="B349" s="53">
        <v>0.6875</v>
      </c>
      <c r="C349" s="110" t="s">
        <v>11</v>
      </c>
      <c r="D349" s="111">
        <v>10</v>
      </c>
      <c r="E349" s="111">
        <v>12</v>
      </c>
      <c r="F349" s="112" t="s">
        <v>189</v>
      </c>
      <c r="G349" s="112" t="s">
        <v>23</v>
      </c>
      <c r="H349" s="113"/>
      <c r="I349" s="113" t="s">
        <v>298</v>
      </c>
      <c r="J349" s="45" t="str">
        <f>VLOOKUP(Table13232[[#This Row],[Track]],$C$836:$E$882,2,FALSE)</f>
        <v>NSW</v>
      </c>
      <c r="K349" s="55">
        <v>100</v>
      </c>
      <c r="L349" s="54" t="str">
        <f>IF(Table13232[[#This Row],[Fin]]&lt;&gt;"1st","",Table13232[[#This Row],[Div]]*Table13232[[#This Row],[Lev Bet]])</f>
        <v/>
      </c>
      <c r="M349" s="54">
        <f>IF(Table13232[[#This Row],[Lev Ret]]="",Table13232[[#This Row],[Lev Bet]]*-1,L349-K349)</f>
        <v>-100</v>
      </c>
      <c r="N349" s="135">
        <v>150</v>
      </c>
      <c r="O349" s="135" t="str">
        <f>IF(Table13232[[#This Row],[Fin]]&lt;&gt;"1st","",Table13232[[#This Row],[Div]]*Table13232[[#This Row],[Nat and Combo Bet]])</f>
        <v/>
      </c>
      <c r="P349" s="135">
        <f>IF(Table13232[[#This Row],[Lev Ret]]="",Table13232[[#This Row],[Nat and Combo Bet]]*-1,O349-N349)</f>
        <v>-150</v>
      </c>
      <c r="Q349" s="50">
        <f t="shared" si="15"/>
        <v>1</v>
      </c>
      <c r="R349" s="50" t="str">
        <f>IF(AND(Q348=2,Q349=1),"",IF(Q349=2,(N349+N350)/2,IF(Table13232[[#This Row],[Dual Listing]]=1,Table13232[[#This Row],[Nat and Combo Bet]],11)))</f>
        <v/>
      </c>
      <c r="S349" s="50" t="str">
        <f t="shared" si="16"/>
        <v/>
      </c>
      <c r="T349" s="50" t="str">
        <f t="shared" si="17"/>
        <v/>
      </c>
      <c r="U349" s="50" t="str">
        <f>IF(Table13232[[#This Row],[Date]]&lt;$U$4,"","Live")</f>
        <v/>
      </c>
      <c r="V349" s="45" t="str">
        <f>TEXT(Table13232[[#This Row],[Date]],"DDD")</f>
        <v>Sat</v>
      </c>
      <c r="W349" s="45" t="str">
        <f>PROPER(TRIM(Table13232[[#This Row],[Horse]]))</f>
        <v>Snack Bar</v>
      </c>
    </row>
    <row r="350" spans="1:23" x14ac:dyDescent="0.25">
      <c r="A350" s="43">
        <v>45836</v>
      </c>
      <c r="B350" s="44">
        <v>0.69097222222222221</v>
      </c>
      <c r="C350" s="44" t="s">
        <v>12</v>
      </c>
      <c r="D350" s="45">
        <v>9</v>
      </c>
      <c r="E350" s="45">
        <v>11</v>
      </c>
      <c r="F350" s="46" t="s">
        <v>190</v>
      </c>
      <c r="G350" s="46" t="s">
        <v>23</v>
      </c>
      <c r="H350" s="47"/>
      <c r="I350" s="47" t="s">
        <v>298</v>
      </c>
      <c r="J350" s="45" t="str">
        <f>VLOOKUP(Table13232[[#This Row],[Track]],$C$836:$E$882,2,FALSE)</f>
        <v>Qld</v>
      </c>
      <c r="K350" s="49">
        <v>100</v>
      </c>
      <c r="L350" s="45" t="str">
        <f>IF(Table13232[[#This Row],[Fin]]&lt;&gt;"1st","",Table13232[[#This Row],[Div]]*Table13232[[#This Row],[Lev Bet]])</f>
        <v/>
      </c>
      <c r="M350" s="45">
        <f>IF(Table13232[[#This Row],[Lev Ret]]="",Table13232[[#This Row],[Lev Bet]]*-1,L350-K350)</f>
        <v>-100</v>
      </c>
      <c r="N350" s="135">
        <v>100</v>
      </c>
      <c r="O350" s="135" t="str">
        <f>IF(Table13232[[#This Row],[Fin]]&lt;&gt;"1st","",Table13232[[#This Row],[Div]]*Table13232[[#This Row],[Nat and Combo Bet]])</f>
        <v/>
      </c>
      <c r="P350" s="135">
        <f>IF(Table13232[[#This Row],[Lev Ret]]="",Table13232[[#This Row],[Nat and Combo Bet]]*-1,O350-N350)</f>
        <v>-100</v>
      </c>
      <c r="Q350" s="50">
        <f t="shared" si="15"/>
        <v>1</v>
      </c>
      <c r="R350" s="50">
        <f>IF(AND(Q349=2,Q350=1),"",IF(Q350=2,(N350+N351)/2,IF(Table13232[[#This Row],[Dual Listing]]=1,Table13232[[#This Row],[Nat and Combo Bet]],11)))</f>
        <v>100</v>
      </c>
      <c r="S350" s="50" t="str">
        <f t="shared" si="16"/>
        <v/>
      </c>
      <c r="T350" s="50">
        <f t="shared" si="17"/>
        <v>-100</v>
      </c>
      <c r="U350" s="50" t="str">
        <f>IF(Table13232[[#This Row],[Date]]&lt;$U$4,"","Live")</f>
        <v/>
      </c>
      <c r="V350" s="45" t="str">
        <f>TEXT(Table13232[[#This Row],[Date]],"DDD")</f>
        <v>Sat</v>
      </c>
      <c r="W350" s="45" t="str">
        <f>PROPER(TRIM(Table13232[[#This Row],[Horse]]))</f>
        <v>Austmarr</v>
      </c>
    </row>
    <row r="351" spans="1:23" x14ac:dyDescent="0.25">
      <c r="A351" s="43">
        <v>45836</v>
      </c>
      <c r="B351" s="44">
        <v>0.69444444444444442</v>
      </c>
      <c r="C351" s="44" t="s">
        <v>34</v>
      </c>
      <c r="D351" s="45">
        <v>9</v>
      </c>
      <c r="E351" s="45">
        <v>8</v>
      </c>
      <c r="F351" s="46" t="s">
        <v>191</v>
      </c>
      <c r="G351" s="46" t="s">
        <v>21</v>
      </c>
      <c r="H351" s="47">
        <v>5.5</v>
      </c>
      <c r="I351" s="47" t="s">
        <v>298</v>
      </c>
      <c r="J351" s="45" t="str">
        <f>VLOOKUP(Table13232[[#This Row],[Track]],$C$836:$E$882,2,FALSE)</f>
        <v>Vic</v>
      </c>
      <c r="K351" s="49">
        <v>100</v>
      </c>
      <c r="L351" s="45">
        <f>IF(Table13232[[#This Row],[Fin]]&lt;&gt;"1st","",Table13232[[#This Row],[Div]]*Table13232[[#This Row],[Lev Bet]])</f>
        <v>550</v>
      </c>
      <c r="M351" s="45">
        <f>IF(Table13232[[#This Row],[Lev Ret]]="",Table13232[[#This Row],[Lev Bet]]*-1,L351-K351)</f>
        <v>450</v>
      </c>
      <c r="N351" s="135">
        <v>100</v>
      </c>
      <c r="O351" s="135">
        <f>IF(Table13232[[#This Row],[Fin]]&lt;&gt;"1st","",Table13232[[#This Row],[Div]]*Table13232[[#This Row],[Nat and Combo Bet]])</f>
        <v>550</v>
      </c>
      <c r="P351" s="135">
        <f>IF(Table13232[[#This Row],[Lev Ret]]="",Table13232[[#This Row],[Nat and Combo Bet]]*-1,O351-N351)</f>
        <v>450</v>
      </c>
      <c r="Q351" s="50">
        <f t="shared" si="15"/>
        <v>1</v>
      </c>
      <c r="R351" s="50">
        <f>IF(AND(Q350=2,Q351=1),"",IF(Q351=2,(N351+N352)/2,IF(Table13232[[#This Row],[Dual Listing]]=1,Table13232[[#This Row],[Nat and Combo Bet]],11)))</f>
        <v>100</v>
      </c>
      <c r="S351" s="50">
        <f t="shared" si="16"/>
        <v>550</v>
      </c>
      <c r="T351" s="50">
        <f t="shared" si="17"/>
        <v>450</v>
      </c>
      <c r="U351" s="50" t="str">
        <f>IF(Table13232[[#This Row],[Date]]&lt;$U$4,"","Live")</f>
        <v/>
      </c>
      <c r="V351" s="45" t="str">
        <f>TEXT(Table13232[[#This Row],[Date]],"DDD")</f>
        <v>Sat</v>
      </c>
      <c r="W351" s="45" t="str">
        <f>PROPER(TRIM(Table13232[[#This Row],[Horse]]))</f>
        <v>Yellow Sam</v>
      </c>
    </row>
    <row r="352" spans="1:23" x14ac:dyDescent="0.25">
      <c r="A352" s="109">
        <v>45843</v>
      </c>
      <c r="B352" s="53">
        <v>0.54513888888888884</v>
      </c>
      <c r="C352" s="110" t="s">
        <v>10</v>
      </c>
      <c r="D352" s="111">
        <v>3</v>
      </c>
      <c r="E352" s="111">
        <v>2</v>
      </c>
      <c r="F352" s="112" t="s">
        <v>192</v>
      </c>
      <c r="G352" s="112" t="s">
        <v>21</v>
      </c>
      <c r="H352" s="113">
        <v>2.1</v>
      </c>
      <c r="I352" s="114" t="s">
        <v>297</v>
      </c>
      <c r="J352" s="45" t="str">
        <f>VLOOKUP(Table13232[[#This Row],[Track]],$C$836:$E$882,2,FALSE)</f>
        <v>Vic</v>
      </c>
      <c r="K352" s="55">
        <v>100</v>
      </c>
      <c r="L352" s="54">
        <f>IF(Table13232[[#This Row],[Fin]]&lt;&gt;"1st","",Table13232[[#This Row],[Div]]*Table13232[[#This Row],[Lev Bet]])</f>
        <v>210</v>
      </c>
      <c r="M352" s="54">
        <f>IF(Table13232[[#This Row],[Lev Ret]]="",Table13232[[#This Row],[Lev Bet]]*-1,L352-K352)</f>
        <v>110</v>
      </c>
      <c r="N352" s="135">
        <v>100</v>
      </c>
      <c r="O352" s="135">
        <f>IF(Table13232[[#This Row],[Fin]]&lt;&gt;"1st","",Table13232[[#This Row],[Div]]*Table13232[[#This Row],[Nat and Combo Bet]])</f>
        <v>210</v>
      </c>
      <c r="P352" s="135">
        <f>IF(Table13232[[#This Row],[Lev Ret]]="",Table13232[[#This Row],[Nat and Combo Bet]]*-1,O352-N352)</f>
        <v>110</v>
      </c>
      <c r="Q352" s="50">
        <f t="shared" si="15"/>
        <v>2</v>
      </c>
      <c r="R352" s="50">
        <f>IF(AND(Q351=2,Q352=1),"",IF(Q352=2,(N352+N353)/2,IF(Table13232[[#This Row],[Dual Listing]]=1,Table13232[[#This Row],[Nat and Combo Bet]],11)))</f>
        <v>150</v>
      </c>
      <c r="S352" s="50">
        <f t="shared" si="16"/>
        <v>315</v>
      </c>
      <c r="T352" s="50">
        <f t="shared" si="17"/>
        <v>165</v>
      </c>
      <c r="U352" s="50" t="str">
        <f>IF(Table13232[[#This Row],[Date]]&lt;$U$4,"","Live")</f>
        <v/>
      </c>
      <c r="V352" s="45" t="str">
        <f>TEXT(Table13232[[#This Row],[Date]],"DDD")</f>
        <v>Sat</v>
      </c>
      <c r="W352" s="45" t="str">
        <f>PROPER(TRIM(Table13232[[#This Row],[Horse]]))</f>
        <v>Marble Nine</v>
      </c>
    </row>
    <row r="353" spans="1:23" x14ac:dyDescent="0.25">
      <c r="A353" s="109">
        <v>45843</v>
      </c>
      <c r="B353" s="53">
        <v>0.54513888888888884</v>
      </c>
      <c r="C353" s="110" t="s">
        <v>10</v>
      </c>
      <c r="D353" s="111">
        <v>3</v>
      </c>
      <c r="E353" s="111">
        <v>2</v>
      </c>
      <c r="F353" s="112" t="s">
        <v>192</v>
      </c>
      <c r="G353" s="112" t="s">
        <v>21</v>
      </c>
      <c r="H353" s="113">
        <v>2.1</v>
      </c>
      <c r="I353" s="113" t="s">
        <v>298</v>
      </c>
      <c r="J353" s="45" t="str">
        <f>VLOOKUP(Table13232[[#This Row],[Track]],$C$836:$E$882,2,FALSE)</f>
        <v>Vic</v>
      </c>
      <c r="K353" s="55">
        <v>100</v>
      </c>
      <c r="L353" s="54">
        <f>IF(Table13232[[#This Row],[Fin]]&lt;&gt;"1st","",Table13232[[#This Row],[Div]]*Table13232[[#This Row],[Lev Bet]])</f>
        <v>210</v>
      </c>
      <c r="M353" s="54">
        <f>IF(Table13232[[#This Row],[Lev Ret]]="",Table13232[[#This Row],[Lev Bet]]*-1,L353-K353)</f>
        <v>110</v>
      </c>
      <c r="N353" s="135">
        <v>200</v>
      </c>
      <c r="O353" s="135">
        <f>IF(Table13232[[#This Row],[Fin]]&lt;&gt;"1st","",Table13232[[#This Row],[Div]]*Table13232[[#This Row],[Nat and Combo Bet]])</f>
        <v>420</v>
      </c>
      <c r="P353" s="135">
        <f>IF(Table13232[[#This Row],[Lev Ret]]="",Table13232[[#This Row],[Nat and Combo Bet]]*-1,O353-N353)</f>
        <v>220</v>
      </c>
      <c r="Q353" s="50">
        <f t="shared" si="15"/>
        <v>1</v>
      </c>
      <c r="R353" s="50" t="str">
        <f>IF(AND(Q352=2,Q353=1),"",IF(Q353=2,(N353+N354)/2,IF(Table13232[[#This Row],[Dual Listing]]=1,Table13232[[#This Row],[Nat and Combo Bet]],11)))</f>
        <v/>
      </c>
      <c r="S353" s="50" t="str">
        <f t="shared" si="16"/>
        <v/>
      </c>
      <c r="T353" s="50" t="str">
        <f t="shared" si="17"/>
        <v/>
      </c>
      <c r="U353" s="50" t="str">
        <f>IF(Table13232[[#This Row],[Date]]&lt;$U$4,"","Live")</f>
        <v/>
      </c>
      <c r="V353" s="45" t="str">
        <f>TEXT(Table13232[[#This Row],[Date]],"DDD")</f>
        <v>Sat</v>
      </c>
      <c r="W353" s="45" t="str">
        <f>PROPER(TRIM(Table13232[[#This Row],[Horse]]))</f>
        <v>Marble Nine</v>
      </c>
    </row>
    <row r="354" spans="1:23" x14ac:dyDescent="0.25">
      <c r="A354" s="43">
        <v>45843</v>
      </c>
      <c r="B354" s="44">
        <v>0.58333333333333337</v>
      </c>
      <c r="C354" s="44" t="s">
        <v>11</v>
      </c>
      <c r="D354" s="45">
        <v>6</v>
      </c>
      <c r="E354" s="45">
        <v>1</v>
      </c>
      <c r="F354" s="46" t="s">
        <v>435</v>
      </c>
      <c r="G354" s="46" t="s">
        <v>21</v>
      </c>
      <c r="H354" s="47">
        <v>3.6</v>
      </c>
      <c r="I354" s="52" t="s">
        <v>297</v>
      </c>
      <c r="J354" s="45" t="str">
        <f>VLOOKUP(Table13232[[#This Row],[Track]],$C$836:$E$882,2,FALSE)</f>
        <v>NSW</v>
      </c>
      <c r="K354" s="49">
        <v>100</v>
      </c>
      <c r="L354" s="45">
        <f>IF(Table13232[[#This Row],[Fin]]&lt;&gt;"1st","",Table13232[[#This Row],[Div]]*Table13232[[#This Row],[Lev Bet]])</f>
        <v>360</v>
      </c>
      <c r="M354" s="45">
        <f>IF(Table13232[[#This Row],[Lev Ret]]="",Table13232[[#This Row],[Lev Bet]]*-1,L354-K354)</f>
        <v>260</v>
      </c>
      <c r="N354" s="135">
        <v>150</v>
      </c>
      <c r="O354" s="135">
        <f>IF(Table13232[[#This Row],[Fin]]&lt;&gt;"1st","",Table13232[[#This Row],[Div]]*Table13232[[#This Row],[Nat and Combo Bet]])</f>
        <v>540</v>
      </c>
      <c r="P354" s="135">
        <f>IF(Table13232[[#This Row],[Lev Ret]]="",Table13232[[#This Row],[Nat and Combo Bet]]*-1,O354-N354)</f>
        <v>390</v>
      </c>
      <c r="Q354" s="50">
        <f t="shared" si="15"/>
        <v>1</v>
      </c>
      <c r="R354" s="50">
        <f>IF(AND(Q353=2,Q354=1),"",IF(Q354=2,(N354+N355)/2,IF(Table13232[[#This Row],[Dual Listing]]=1,Table13232[[#This Row],[Nat and Combo Bet]],11)))</f>
        <v>150</v>
      </c>
      <c r="S354" s="50">
        <f t="shared" si="16"/>
        <v>540</v>
      </c>
      <c r="T354" s="50">
        <f t="shared" si="17"/>
        <v>390</v>
      </c>
      <c r="U354" s="50" t="str">
        <f>IF(Table13232[[#This Row],[Date]]&lt;$U$4,"","Live")</f>
        <v/>
      </c>
      <c r="V354" s="45" t="str">
        <f>TEXT(Table13232[[#This Row],[Date]],"DDD")</f>
        <v>Sat</v>
      </c>
      <c r="W354" s="45" t="str">
        <f>PROPER(TRIM(Table13232[[#This Row],[Horse]]))</f>
        <v>Hi Dubai</v>
      </c>
    </row>
    <row r="355" spans="1:23" x14ac:dyDescent="0.25">
      <c r="A355" s="43">
        <v>45843</v>
      </c>
      <c r="B355" s="44">
        <v>0.59375</v>
      </c>
      <c r="C355" s="44" t="s">
        <v>10</v>
      </c>
      <c r="D355" s="45">
        <v>5</v>
      </c>
      <c r="E355" s="45">
        <v>4</v>
      </c>
      <c r="F355" s="46" t="s">
        <v>207</v>
      </c>
      <c r="G355" s="46" t="s">
        <v>23</v>
      </c>
      <c r="H355" s="47"/>
      <c r="I355" s="52" t="s">
        <v>297</v>
      </c>
      <c r="J355" s="45" t="str">
        <f>VLOOKUP(Table13232[[#This Row],[Track]],$C$836:$E$882,2,FALSE)</f>
        <v>Vic</v>
      </c>
      <c r="K355" s="49">
        <v>100</v>
      </c>
      <c r="L355" s="45" t="str">
        <f>IF(Table13232[[#This Row],[Fin]]&lt;&gt;"1st","",Table13232[[#This Row],[Div]]*Table13232[[#This Row],[Lev Bet]])</f>
        <v/>
      </c>
      <c r="M355" s="45">
        <f>IF(Table13232[[#This Row],[Lev Ret]]="",Table13232[[#This Row],[Lev Bet]]*-1,L355-K355)</f>
        <v>-100</v>
      </c>
      <c r="N355" s="135">
        <v>100</v>
      </c>
      <c r="O355" s="135" t="str">
        <f>IF(Table13232[[#This Row],[Fin]]&lt;&gt;"1st","",Table13232[[#This Row],[Div]]*Table13232[[#This Row],[Nat and Combo Bet]])</f>
        <v/>
      </c>
      <c r="P355" s="135">
        <f>IF(Table13232[[#This Row],[Lev Ret]]="",Table13232[[#This Row],[Nat and Combo Bet]]*-1,O355-N355)</f>
        <v>-100</v>
      </c>
      <c r="Q355" s="50">
        <f t="shared" si="15"/>
        <v>1</v>
      </c>
      <c r="R355" s="50">
        <f>IF(AND(Q354=2,Q355=1),"",IF(Q355=2,(N355+N356)/2,IF(Table13232[[#This Row],[Dual Listing]]=1,Table13232[[#This Row],[Nat and Combo Bet]],11)))</f>
        <v>100</v>
      </c>
      <c r="S355" s="50" t="str">
        <f t="shared" si="16"/>
        <v/>
      </c>
      <c r="T355" s="50">
        <f t="shared" si="17"/>
        <v>-100</v>
      </c>
      <c r="U355" s="50" t="str">
        <f>IF(Table13232[[#This Row],[Date]]&lt;$U$4,"","Live")</f>
        <v/>
      </c>
      <c r="V355" s="45" t="str">
        <f>TEXT(Table13232[[#This Row],[Date]],"DDD")</f>
        <v>Sat</v>
      </c>
      <c r="W355" s="45" t="str">
        <f>PROPER(TRIM(Table13232[[#This Row],[Horse]]))</f>
        <v>Bold Soul</v>
      </c>
    </row>
    <row r="356" spans="1:23" x14ac:dyDescent="0.25">
      <c r="A356" s="43">
        <v>45843</v>
      </c>
      <c r="B356" s="44">
        <v>0.59375</v>
      </c>
      <c r="C356" s="44" t="s">
        <v>10</v>
      </c>
      <c r="D356" s="45">
        <v>5</v>
      </c>
      <c r="E356" s="45">
        <v>8</v>
      </c>
      <c r="F356" s="46" t="s">
        <v>436</v>
      </c>
      <c r="G356" s="46" t="s">
        <v>21</v>
      </c>
      <c r="H356" s="47">
        <v>4.4000000000000004</v>
      </c>
      <c r="I356" s="52" t="s">
        <v>297</v>
      </c>
      <c r="J356" s="45" t="str">
        <f>VLOOKUP(Table13232[[#This Row],[Track]],$C$836:$E$882,2,FALSE)</f>
        <v>Vic</v>
      </c>
      <c r="K356" s="49">
        <v>100</v>
      </c>
      <c r="L356" s="45">
        <f>IF(Table13232[[#This Row],[Fin]]&lt;&gt;"1st","",Table13232[[#This Row],[Div]]*Table13232[[#This Row],[Lev Bet]])</f>
        <v>440.00000000000006</v>
      </c>
      <c r="M356" s="45">
        <f>IF(Table13232[[#This Row],[Lev Ret]]="",Table13232[[#This Row],[Lev Bet]]*-1,L356-K356)</f>
        <v>340.00000000000006</v>
      </c>
      <c r="N356" s="135">
        <v>160</v>
      </c>
      <c r="O356" s="135">
        <f>IF(Table13232[[#This Row],[Fin]]&lt;&gt;"1st","",Table13232[[#This Row],[Div]]*Table13232[[#This Row],[Nat and Combo Bet]])</f>
        <v>704</v>
      </c>
      <c r="P356" s="135">
        <f>IF(Table13232[[#This Row],[Lev Ret]]="",Table13232[[#This Row],[Nat and Combo Bet]]*-1,O356-N356)</f>
        <v>544</v>
      </c>
      <c r="Q356" s="50">
        <f t="shared" si="15"/>
        <v>1</v>
      </c>
      <c r="R356" s="50">
        <f>IF(AND(Q355=2,Q356=1),"",IF(Q356=2,(N356+N357)/2,IF(Table13232[[#This Row],[Dual Listing]]=1,Table13232[[#This Row],[Nat and Combo Bet]],11)))</f>
        <v>160</v>
      </c>
      <c r="S356" s="50">
        <f t="shared" si="16"/>
        <v>704</v>
      </c>
      <c r="T356" s="50">
        <f t="shared" si="17"/>
        <v>544</v>
      </c>
      <c r="U356" s="50" t="str">
        <f>IF(Table13232[[#This Row],[Date]]&lt;$U$4,"","Live")</f>
        <v/>
      </c>
      <c r="V356" s="45" t="str">
        <f>TEXT(Table13232[[#This Row],[Date]],"DDD")</f>
        <v>Sat</v>
      </c>
      <c r="W356" s="45" t="str">
        <f>PROPER(TRIM(Table13232[[#This Row],[Horse]]))</f>
        <v>Goldenstatewarrior</v>
      </c>
    </row>
    <row r="357" spans="1:23" x14ac:dyDescent="0.25">
      <c r="A357" s="43">
        <v>45843</v>
      </c>
      <c r="B357" s="44">
        <v>0.67361111111111116</v>
      </c>
      <c r="C357" s="44" t="s">
        <v>10</v>
      </c>
      <c r="D357" s="45">
        <v>8</v>
      </c>
      <c r="E357" s="45">
        <v>3</v>
      </c>
      <c r="F357" s="46" t="s">
        <v>172</v>
      </c>
      <c r="G357" s="46" t="s">
        <v>21</v>
      </c>
      <c r="H357" s="47">
        <v>5</v>
      </c>
      <c r="I357" s="52" t="s">
        <v>297</v>
      </c>
      <c r="J357" s="45" t="str">
        <f>VLOOKUP(Table13232[[#This Row],[Track]],$C$836:$E$882,2,FALSE)</f>
        <v>Vic</v>
      </c>
      <c r="K357" s="49">
        <v>100</v>
      </c>
      <c r="L357" s="45">
        <f>IF(Table13232[[#This Row],[Fin]]&lt;&gt;"1st","",Table13232[[#This Row],[Div]]*Table13232[[#This Row],[Lev Bet]])</f>
        <v>500</v>
      </c>
      <c r="M357" s="45">
        <f>IF(Table13232[[#This Row],[Lev Ret]]="",Table13232[[#This Row],[Lev Bet]]*-1,L357-K357)</f>
        <v>400</v>
      </c>
      <c r="N357" s="135">
        <v>100</v>
      </c>
      <c r="O357" s="135">
        <f>IF(Table13232[[#This Row],[Fin]]&lt;&gt;"1st","",Table13232[[#This Row],[Div]]*Table13232[[#This Row],[Nat and Combo Bet]])</f>
        <v>500</v>
      </c>
      <c r="P357" s="135">
        <f>IF(Table13232[[#This Row],[Lev Ret]]="",Table13232[[#This Row],[Nat and Combo Bet]]*-1,O357-N357)</f>
        <v>400</v>
      </c>
      <c r="Q357" s="50">
        <f t="shared" si="15"/>
        <v>1</v>
      </c>
      <c r="R357" s="50">
        <f>IF(AND(Q356=2,Q357=1),"",IF(Q357=2,(N357+N358)/2,IF(Table13232[[#This Row],[Dual Listing]]=1,Table13232[[#This Row],[Nat and Combo Bet]],11)))</f>
        <v>100</v>
      </c>
      <c r="S357" s="50">
        <f t="shared" si="16"/>
        <v>500</v>
      </c>
      <c r="T357" s="50">
        <f t="shared" si="17"/>
        <v>400</v>
      </c>
      <c r="U357" s="50" t="str">
        <f>IF(Table13232[[#This Row],[Date]]&lt;$U$4,"","Live")</f>
        <v/>
      </c>
      <c r="V357" s="45" t="str">
        <f>TEXT(Table13232[[#This Row],[Date]],"DDD")</f>
        <v>Sat</v>
      </c>
      <c r="W357" s="45" t="str">
        <f>PROPER(TRIM(Table13232[[#This Row],[Horse]]))</f>
        <v>Jimmy The Bear</v>
      </c>
    </row>
    <row r="358" spans="1:23" x14ac:dyDescent="0.25">
      <c r="A358" s="43">
        <v>45843</v>
      </c>
      <c r="B358" s="44">
        <v>0.6875</v>
      </c>
      <c r="C358" s="44" t="s">
        <v>11</v>
      </c>
      <c r="D358" s="45">
        <v>10</v>
      </c>
      <c r="E358" s="45">
        <v>17</v>
      </c>
      <c r="F358" s="46" t="s">
        <v>437</v>
      </c>
      <c r="G358" s="46"/>
      <c r="H358" s="47"/>
      <c r="I358" s="52" t="s">
        <v>297</v>
      </c>
      <c r="J358" s="45" t="str">
        <f>VLOOKUP(Table13232[[#This Row],[Track]],$C$836:$E$882,2,FALSE)</f>
        <v>NSW</v>
      </c>
      <c r="K358" s="49">
        <v>100</v>
      </c>
      <c r="L358" s="45" t="str">
        <f>IF(Table13232[[#This Row],[Fin]]&lt;&gt;"1st","",Table13232[[#This Row],[Div]]*Table13232[[#This Row],[Lev Bet]])</f>
        <v/>
      </c>
      <c r="M358" s="45">
        <f>IF(Table13232[[#This Row],[Lev Ret]]="",Table13232[[#This Row],[Lev Bet]]*-1,L358-K358)</f>
        <v>-100</v>
      </c>
      <c r="N358" s="135">
        <v>100</v>
      </c>
      <c r="O358" s="135" t="str">
        <f>IF(Table13232[[#This Row],[Fin]]&lt;&gt;"1st","",Table13232[[#This Row],[Div]]*Table13232[[#This Row],[Nat and Combo Bet]])</f>
        <v/>
      </c>
      <c r="P358" s="135">
        <f>IF(Table13232[[#This Row],[Lev Ret]]="",Table13232[[#This Row],[Nat and Combo Bet]]*-1,O358-N358)</f>
        <v>-100</v>
      </c>
      <c r="Q358" s="50">
        <f t="shared" si="15"/>
        <v>1</v>
      </c>
      <c r="R358" s="50">
        <f>IF(AND(Q357=2,Q358=1),"",IF(Q358=2,(N358+N359)/2,IF(Table13232[[#This Row],[Dual Listing]]=1,Table13232[[#This Row],[Nat and Combo Bet]],11)))</f>
        <v>100</v>
      </c>
      <c r="S358" s="50" t="str">
        <f t="shared" si="16"/>
        <v/>
      </c>
      <c r="T358" s="50">
        <f t="shared" si="17"/>
        <v>-100</v>
      </c>
      <c r="U358" s="50" t="str">
        <f>IF(Table13232[[#This Row],[Date]]&lt;$U$4,"","Live")</f>
        <v/>
      </c>
      <c r="V358" s="45" t="str">
        <f>TEXT(Table13232[[#This Row],[Date]],"DDD")</f>
        <v>Sat</v>
      </c>
      <c r="W358" s="45" t="str">
        <f>PROPER(TRIM(Table13232[[#This Row],[Horse]]))</f>
        <v>Hell To Pay</v>
      </c>
    </row>
    <row r="359" spans="1:23" x14ac:dyDescent="0.25">
      <c r="A359" s="43">
        <v>45843</v>
      </c>
      <c r="B359" s="44">
        <v>0.69444444444444442</v>
      </c>
      <c r="C359" s="44" t="s">
        <v>10</v>
      </c>
      <c r="D359" s="45">
        <v>9</v>
      </c>
      <c r="E359" s="45">
        <v>3</v>
      </c>
      <c r="F359" s="46" t="s">
        <v>438</v>
      </c>
      <c r="G359" s="46"/>
      <c r="H359" s="47"/>
      <c r="I359" s="52" t="s">
        <v>297</v>
      </c>
      <c r="J359" s="45" t="str">
        <f>VLOOKUP(Table13232[[#This Row],[Track]],$C$836:$E$882,2,FALSE)</f>
        <v>Vic</v>
      </c>
      <c r="K359" s="49">
        <v>100</v>
      </c>
      <c r="L359" s="45" t="str">
        <f>IF(Table13232[[#This Row],[Fin]]&lt;&gt;"1st","",Table13232[[#This Row],[Div]]*Table13232[[#This Row],[Lev Bet]])</f>
        <v/>
      </c>
      <c r="M359" s="45">
        <f>IF(Table13232[[#This Row],[Lev Ret]]="",Table13232[[#This Row],[Lev Bet]]*-1,L359-K359)</f>
        <v>-100</v>
      </c>
      <c r="N359" s="135">
        <v>160</v>
      </c>
      <c r="O359" s="135" t="str">
        <f>IF(Table13232[[#This Row],[Fin]]&lt;&gt;"1st","",Table13232[[#This Row],[Div]]*Table13232[[#This Row],[Nat and Combo Bet]])</f>
        <v/>
      </c>
      <c r="P359" s="135">
        <f>IF(Table13232[[#This Row],[Lev Ret]]="",Table13232[[#This Row],[Nat and Combo Bet]]*-1,O359-N359)</f>
        <v>-160</v>
      </c>
      <c r="Q359" s="50">
        <f t="shared" si="15"/>
        <v>1</v>
      </c>
      <c r="R359" s="50">
        <f>IF(AND(Q358=2,Q359=1),"",IF(Q359=2,(N359+N360)/2,IF(Table13232[[#This Row],[Dual Listing]]=1,Table13232[[#This Row],[Nat and Combo Bet]],11)))</f>
        <v>160</v>
      </c>
      <c r="S359" s="50" t="str">
        <f t="shared" si="16"/>
        <v/>
      </c>
      <c r="T359" s="50">
        <f t="shared" si="17"/>
        <v>-160</v>
      </c>
      <c r="U359" s="50" t="str">
        <f>IF(Table13232[[#This Row],[Date]]&lt;$U$4,"","Live")</f>
        <v/>
      </c>
      <c r="V359" s="45" t="str">
        <f>TEXT(Table13232[[#This Row],[Date]],"DDD")</f>
        <v>Sat</v>
      </c>
      <c r="W359" s="45" t="str">
        <f>PROPER(TRIM(Table13232[[#This Row],[Horse]]))</f>
        <v>Mollynickers</v>
      </c>
    </row>
    <row r="360" spans="1:23" x14ac:dyDescent="0.25">
      <c r="A360" s="109">
        <v>45843</v>
      </c>
      <c r="B360" s="53">
        <v>0.69444444444444442</v>
      </c>
      <c r="C360" s="110" t="s">
        <v>10</v>
      </c>
      <c r="D360" s="111">
        <v>9</v>
      </c>
      <c r="E360" s="111">
        <v>5</v>
      </c>
      <c r="F360" s="112" t="s">
        <v>193</v>
      </c>
      <c r="G360" s="112" t="s">
        <v>22</v>
      </c>
      <c r="H360" s="113"/>
      <c r="I360" s="114" t="s">
        <v>297</v>
      </c>
      <c r="J360" s="45" t="str">
        <f>VLOOKUP(Table13232[[#This Row],[Track]],$C$836:$E$882,2,FALSE)</f>
        <v>Vic</v>
      </c>
      <c r="K360" s="55">
        <v>100</v>
      </c>
      <c r="L360" s="54" t="str">
        <f>IF(Table13232[[#This Row],[Fin]]&lt;&gt;"1st","",Table13232[[#This Row],[Div]]*Table13232[[#This Row],[Lev Bet]])</f>
        <v/>
      </c>
      <c r="M360" s="54">
        <f>IF(Table13232[[#This Row],[Lev Ret]]="",Table13232[[#This Row],[Lev Bet]]*-1,L360-K360)</f>
        <v>-100</v>
      </c>
      <c r="N360" s="135">
        <v>150</v>
      </c>
      <c r="O360" s="135" t="str">
        <f>IF(Table13232[[#This Row],[Fin]]&lt;&gt;"1st","",Table13232[[#This Row],[Div]]*Table13232[[#This Row],[Nat and Combo Bet]])</f>
        <v/>
      </c>
      <c r="P360" s="135">
        <f>IF(Table13232[[#This Row],[Lev Ret]]="",Table13232[[#This Row],[Nat and Combo Bet]]*-1,O360-N360)</f>
        <v>-150</v>
      </c>
      <c r="Q360" s="50">
        <f t="shared" si="15"/>
        <v>2</v>
      </c>
      <c r="R360" s="50">
        <f>IF(AND(Q359=2,Q360=1),"",IF(Q360=2,(N360+N361)/2,IF(Table13232[[#This Row],[Dual Listing]]=1,Table13232[[#This Row],[Nat and Combo Bet]],11)))</f>
        <v>125</v>
      </c>
      <c r="S360" s="50" t="str">
        <f t="shared" si="16"/>
        <v/>
      </c>
      <c r="T360" s="50">
        <f t="shared" si="17"/>
        <v>-125</v>
      </c>
      <c r="U360" s="50" t="str">
        <f>IF(Table13232[[#This Row],[Date]]&lt;$U$4,"","Live")</f>
        <v/>
      </c>
      <c r="V360" s="45" t="str">
        <f>TEXT(Table13232[[#This Row],[Date]],"DDD")</f>
        <v>Sat</v>
      </c>
      <c r="W360" s="45" t="str">
        <f>PROPER(TRIM(Table13232[[#This Row],[Horse]]))</f>
        <v>Stylish</v>
      </c>
    </row>
    <row r="361" spans="1:23" x14ac:dyDescent="0.25">
      <c r="A361" s="109">
        <v>45843</v>
      </c>
      <c r="B361" s="53">
        <v>0.69444444444444442</v>
      </c>
      <c r="C361" s="110" t="s">
        <v>10</v>
      </c>
      <c r="D361" s="111">
        <v>9</v>
      </c>
      <c r="E361" s="111">
        <v>5</v>
      </c>
      <c r="F361" s="112" t="s">
        <v>193</v>
      </c>
      <c r="G361" s="112" t="s">
        <v>22</v>
      </c>
      <c r="H361" s="113"/>
      <c r="I361" s="113" t="s">
        <v>298</v>
      </c>
      <c r="J361" s="45" t="str">
        <f>VLOOKUP(Table13232[[#This Row],[Track]],$C$836:$E$882,2,FALSE)</f>
        <v>Vic</v>
      </c>
      <c r="K361" s="55">
        <v>100</v>
      </c>
      <c r="L361" s="54" t="str">
        <f>IF(Table13232[[#This Row],[Fin]]&lt;&gt;"1st","",Table13232[[#This Row],[Div]]*Table13232[[#This Row],[Lev Bet]])</f>
        <v/>
      </c>
      <c r="M361" s="54">
        <f>IF(Table13232[[#This Row],[Lev Ret]]="",Table13232[[#This Row],[Lev Bet]]*-1,L361-K361)</f>
        <v>-100</v>
      </c>
      <c r="N361" s="135">
        <v>100</v>
      </c>
      <c r="O361" s="135" t="str">
        <f>IF(Table13232[[#This Row],[Fin]]&lt;&gt;"1st","",Table13232[[#This Row],[Div]]*Table13232[[#This Row],[Nat and Combo Bet]])</f>
        <v/>
      </c>
      <c r="P361" s="135">
        <f>IF(Table13232[[#This Row],[Lev Ret]]="",Table13232[[#This Row],[Nat and Combo Bet]]*-1,O361-N361)</f>
        <v>-100</v>
      </c>
      <c r="Q361" s="50">
        <f t="shared" si="15"/>
        <v>1</v>
      </c>
      <c r="R361" s="50" t="str">
        <f>IF(AND(Q360=2,Q361=1),"",IF(Q361=2,(N361+N362)/2,IF(Table13232[[#This Row],[Dual Listing]]=1,Table13232[[#This Row],[Nat and Combo Bet]],11)))</f>
        <v/>
      </c>
      <c r="S361" s="50" t="str">
        <f t="shared" si="16"/>
        <v/>
      </c>
      <c r="T361" s="50" t="str">
        <f t="shared" si="17"/>
        <v/>
      </c>
      <c r="U361" s="50" t="str">
        <f>IF(Table13232[[#This Row],[Date]]&lt;$U$4,"","Live")</f>
        <v/>
      </c>
      <c r="V361" s="45" t="str">
        <f>TEXT(Table13232[[#This Row],[Date]],"DDD")</f>
        <v>Sat</v>
      </c>
      <c r="W361" s="45" t="str">
        <f>PROPER(TRIM(Table13232[[#This Row],[Horse]]))</f>
        <v>Stylish</v>
      </c>
    </row>
    <row r="362" spans="1:23" x14ac:dyDescent="0.25">
      <c r="A362" s="43">
        <v>45850</v>
      </c>
      <c r="B362" s="44">
        <v>0.51388888888888884</v>
      </c>
      <c r="C362" s="44" t="s">
        <v>13</v>
      </c>
      <c r="D362" s="45">
        <v>3</v>
      </c>
      <c r="E362" s="45">
        <v>10</v>
      </c>
      <c r="F362" s="46" t="s">
        <v>439</v>
      </c>
      <c r="G362" s="46"/>
      <c r="H362" s="47"/>
      <c r="I362" s="52" t="s">
        <v>297</v>
      </c>
      <c r="J362" s="45" t="str">
        <f>VLOOKUP(Table13232[[#This Row],[Track]],$C$836:$E$882,2,FALSE)</f>
        <v>NSW</v>
      </c>
      <c r="K362" s="49">
        <v>100</v>
      </c>
      <c r="L362" s="45" t="str">
        <f>IF(Table13232[[#This Row],[Fin]]&lt;&gt;"1st","",Table13232[[#This Row],[Div]]*Table13232[[#This Row],[Lev Bet]])</f>
        <v/>
      </c>
      <c r="M362" s="45">
        <f>IF(Table13232[[#This Row],[Lev Ret]]="",Table13232[[#This Row],[Lev Bet]]*-1,L362-K362)</f>
        <v>-100</v>
      </c>
      <c r="N362" s="135">
        <v>150</v>
      </c>
      <c r="O362" s="135" t="str">
        <f>IF(Table13232[[#This Row],[Fin]]&lt;&gt;"1st","",Table13232[[#This Row],[Div]]*Table13232[[#This Row],[Nat and Combo Bet]])</f>
        <v/>
      </c>
      <c r="P362" s="135">
        <f>IF(Table13232[[#This Row],[Lev Ret]]="",Table13232[[#This Row],[Nat and Combo Bet]]*-1,O362-N362)</f>
        <v>-150</v>
      </c>
      <c r="Q362" s="50">
        <f t="shared" si="15"/>
        <v>1</v>
      </c>
      <c r="R362" s="50">
        <f>IF(AND(Q361=2,Q362=1),"",IF(Q362=2,(N362+N363)/2,IF(Table13232[[#This Row],[Dual Listing]]=1,Table13232[[#This Row],[Nat and Combo Bet]],11)))</f>
        <v>150</v>
      </c>
      <c r="S362" s="50" t="str">
        <f t="shared" si="16"/>
        <v/>
      </c>
      <c r="T362" s="50">
        <f t="shared" si="17"/>
        <v>-150</v>
      </c>
      <c r="U362" s="50" t="str">
        <f>IF(Table13232[[#This Row],[Date]]&lt;$U$4,"","Live")</f>
        <v/>
      </c>
      <c r="V362" s="45" t="str">
        <f>TEXT(Table13232[[#This Row],[Date]],"DDD")</f>
        <v>Sat</v>
      </c>
      <c r="W362" s="45" t="str">
        <f>PROPER(TRIM(Table13232[[#This Row],[Horse]]))</f>
        <v>Callistemon</v>
      </c>
    </row>
    <row r="363" spans="1:23" x14ac:dyDescent="0.25">
      <c r="A363" s="43">
        <v>45850</v>
      </c>
      <c r="B363" s="44">
        <v>0.52430555555555558</v>
      </c>
      <c r="C363" s="44" t="s">
        <v>34</v>
      </c>
      <c r="D363" s="45">
        <v>2</v>
      </c>
      <c r="E363" s="45">
        <v>7</v>
      </c>
      <c r="F363" s="46" t="s">
        <v>194</v>
      </c>
      <c r="G363" s="46"/>
      <c r="H363" s="47"/>
      <c r="I363" s="47" t="s">
        <v>298</v>
      </c>
      <c r="J363" s="45" t="str">
        <f>VLOOKUP(Table13232[[#This Row],[Track]],$C$836:$E$882,2,FALSE)</f>
        <v>Vic</v>
      </c>
      <c r="K363" s="49">
        <v>100</v>
      </c>
      <c r="L363" s="45" t="str">
        <f>IF(Table13232[[#This Row],[Fin]]&lt;&gt;"1st","",Table13232[[#This Row],[Div]]*Table13232[[#This Row],[Lev Bet]])</f>
        <v/>
      </c>
      <c r="M363" s="45">
        <f>IF(Table13232[[#This Row],[Lev Ret]]="",Table13232[[#This Row],[Lev Bet]]*-1,L363-K363)</f>
        <v>-100</v>
      </c>
      <c r="N363" s="135">
        <v>100</v>
      </c>
      <c r="O363" s="135" t="str">
        <f>IF(Table13232[[#This Row],[Fin]]&lt;&gt;"1st","",Table13232[[#This Row],[Div]]*Table13232[[#This Row],[Nat and Combo Bet]])</f>
        <v/>
      </c>
      <c r="P363" s="135">
        <f>IF(Table13232[[#This Row],[Lev Ret]]="",Table13232[[#This Row],[Nat and Combo Bet]]*-1,O363-N363)</f>
        <v>-100</v>
      </c>
      <c r="Q363" s="50">
        <f t="shared" si="15"/>
        <v>1</v>
      </c>
      <c r="R363" s="50">
        <f>IF(AND(Q362=2,Q363=1),"",IF(Q363=2,(N363+N364)/2,IF(Table13232[[#This Row],[Dual Listing]]=1,Table13232[[#This Row],[Nat and Combo Bet]],11)))</f>
        <v>100</v>
      </c>
      <c r="S363" s="50" t="str">
        <f t="shared" si="16"/>
        <v/>
      </c>
      <c r="T363" s="50">
        <f t="shared" si="17"/>
        <v>-100</v>
      </c>
      <c r="U363" s="50" t="str">
        <f>IF(Table13232[[#This Row],[Date]]&lt;$U$4,"","Live")</f>
        <v/>
      </c>
      <c r="V363" s="45" t="str">
        <f>TEXT(Table13232[[#This Row],[Date]],"DDD")</f>
        <v>Sat</v>
      </c>
      <c r="W363" s="45" t="str">
        <f>PROPER(TRIM(Table13232[[#This Row],[Horse]]))</f>
        <v>Shadhavar</v>
      </c>
    </row>
    <row r="364" spans="1:23" x14ac:dyDescent="0.25">
      <c r="A364" s="43">
        <v>45850</v>
      </c>
      <c r="B364" s="44">
        <v>0.53819444444444442</v>
      </c>
      <c r="C364" s="44" t="s">
        <v>13</v>
      </c>
      <c r="D364" s="45">
        <v>4</v>
      </c>
      <c r="E364" s="45">
        <v>3</v>
      </c>
      <c r="F364" s="46" t="s">
        <v>184</v>
      </c>
      <c r="G364" s="46"/>
      <c r="H364" s="47"/>
      <c r="I364" s="47" t="s">
        <v>298</v>
      </c>
      <c r="J364" s="45" t="str">
        <f>VLOOKUP(Table13232[[#This Row],[Track]],$C$836:$E$882,2,FALSE)</f>
        <v>NSW</v>
      </c>
      <c r="K364" s="49">
        <v>100</v>
      </c>
      <c r="L364" s="45" t="str">
        <f>IF(Table13232[[#This Row],[Fin]]&lt;&gt;"1st","",Table13232[[#This Row],[Div]]*Table13232[[#This Row],[Lev Bet]])</f>
        <v/>
      </c>
      <c r="M364" s="45">
        <f>IF(Table13232[[#This Row],[Lev Ret]]="",Table13232[[#This Row],[Lev Bet]]*-1,L364-K364)</f>
        <v>-100</v>
      </c>
      <c r="N364" s="135">
        <v>150</v>
      </c>
      <c r="O364" s="135" t="str">
        <f>IF(Table13232[[#This Row],[Fin]]&lt;&gt;"1st","",Table13232[[#This Row],[Div]]*Table13232[[#This Row],[Nat and Combo Bet]])</f>
        <v/>
      </c>
      <c r="P364" s="135">
        <f>IF(Table13232[[#This Row],[Lev Ret]]="",Table13232[[#This Row],[Nat and Combo Bet]]*-1,O364-N364)</f>
        <v>-150</v>
      </c>
      <c r="Q364" s="50">
        <f t="shared" si="15"/>
        <v>1</v>
      </c>
      <c r="R364" s="50">
        <f>IF(AND(Q363=2,Q364=1),"",IF(Q364=2,(N364+N365)/2,IF(Table13232[[#This Row],[Dual Listing]]=1,Table13232[[#This Row],[Nat and Combo Bet]],11)))</f>
        <v>150</v>
      </c>
      <c r="S364" s="50" t="str">
        <f t="shared" si="16"/>
        <v/>
      </c>
      <c r="T364" s="50">
        <f t="shared" si="17"/>
        <v>-150</v>
      </c>
      <c r="U364" s="50" t="str">
        <f>IF(Table13232[[#This Row],[Date]]&lt;$U$4,"","Live")</f>
        <v/>
      </c>
      <c r="V364" s="45" t="str">
        <f>TEXT(Table13232[[#This Row],[Date]],"DDD")</f>
        <v>Sat</v>
      </c>
      <c r="W364" s="45" t="str">
        <f>PROPER(TRIM(Table13232[[#This Row],[Horse]]))</f>
        <v>Livin Thing</v>
      </c>
    </row>
    <row r="365" spans="1:23" x14ac:dyDescent="0.25">
      <c r="A365" s="43">
        <v>45850</v>
      </c>
      <c r="B365" s="44">
        <v>0.54861111111111116</v>
      </c>
      <c r="C365" s="44" t="s">
        <v>34</v>
      </c>
      <c r="D365" s="45">
        <v>3</v>
      </c>
      <c r="E365" s="45">
        <v>3</v>
      </c>
      <c r="F365" s="46" t="s">
        <v>195</v>
      </c>
      <c r="G365" s="46"/>
      <c r="H365" s="47"/>
      <c r="I365" s="47" t="s">
        <v>298</v>
      </c>
      <c r="J365" s="45" t="str">
        <f>VLOOKUP(Table13232[[#This Row],[Track]],$C$836:$E$882,2,FALSE)</f>
        <v>Vic</v>
      </c>
      <c r="K365" s="49">
        <v>100</v>
      </c>
      <c r="L365" s="45" t="str">
        <f>IF(Table13232[[#This Row],[Fin]]&lt;&gt;"1st","",Table13232[[#This Row],[Div]]*Table13232[[#This Row],[Lev Bet]])</f>
        <v/>
      </c>
      <c r="M365" s="45">
        <f>IF(Table13232[[#This Row],[Lev Ret]]="",Table13232[[#This Row],[Lev Bet]]*-1,L365-K365)</f>
        <v>-100</v>
      </c>
      <c r="N365" s="135">
        <v>100</v>
      </c>
      <c r="O365" s="135" t="str">
        <f>IF(Table13232[[#This Row],[Fin]]&lt;&gt;"1st","",Table13232[[#This Row],[Div]]*Table13232[[#This Row],[Nat and Combo Bet]])</f>
        <v/>
      </c>
      <c r="P365" s="135">
        <f>IF(Table13232[[#This Row],[Lev Ret]]="",Table13232[[#This Row],[Nat and Combo Bet]]*-1,O365-N365)</f>
        <v>-100</v>
      </c>
      <c r="Q365" s="50">
        <f t="shared" si="15"/>
        <v>1</v>
      </c>
      <c r="R365" s="50">
        <f>IF(AND(Q364=2,Q365=1),"",IF(Q365=2,(N365+N366)/2,IF(Table13232[[#This Row],[Dual Listing]]=1,Table13232[[#This Row],[Nat and Combo Bet]],11)))</f>
        <v>100</v>
      </c>
      <c r="S365" s="50" t="str">
        <f t="shared" si="16"/>
        <v/>
      </c>
      <c r="T365" s="50">
        <f t="shared" si="17"/>
        <v>-100</v>
      </c>
      <c r="U365" s="50" t="str">
        <f>IF(Table13232[[#This Row],[Date]]&lt;$U$4,"","Live")</f>
        <v/>
      </c>
      <c r="V365" s="45" t="str">
        <f>TEXT(Table13232[[#This Row],[Date]],"DDD")</f>
        <v>Sat</v>
      </c>
      <c r="W365" s="45" t="str">
        <f>PROPER(TRIM(Table13232[[#This Row],[Horse]]))</f>
        <v>Xarpo</v>
      </c>
    </row>
    <row r="366" spans="1:23" x14ac:dyDescent="0.25">
      <c r="A366" s="43">
        <v>45850</v>
      </c>
      <c r="B366" s="44">
        <v>0.5625</v>
      </c>
      <c r="C366" s="44" t="s">
        <v>13</v>
      </c>
      <c r="D366" s="45">
        <v>5</v>
      </c>
      <c r="E366" s="45">
        <v>3</v>
      </c>
      <c r="F366" s="46" t="s">
        <v>196</v>
      </c>
      <c r="G366" s="46" t="s">
        <v>22</v>
      </c>
      <c r="H366" s="47"/>
      <c r="I366" s="47" t="s">
        <v>298</v>
      </c>
      <c r="J366" s="45" t="str">
        <f>VLOOKUP(Table13232[[#This Row],[Track]],$C$836:$E$882,2,FALSE)</f>
        <v>NSW</v>
      </c>
      <c r="K366" s="49">
        <v>100</v>
      </c>
      <c r="L366" s="45" t="str">
        <f>IF(Table13232[[#This Row],[Fin]]&lt;&gt;"1st","",Table13232[[#This Row],[Div]]*Table13232[[#This Row],[Lev Bet]])</f>
        <v/>
      </c>
      <c r="M366" s="45">
        <f>IF(Table13232[[#This Row],[Lev Ret]]="",Table13232[[#This Row],[Lev Bet]]*-1,L366-K366)</f>
        <v>-100</v>
      </c>
      <c r="N366" s="135">
        <v>150</v>
      </c>
      <c r="O366" s="135" t="str">
        <f>IF(Table13232[[#This Row],[Fin]]&lt;&gt;"1st","",Table13232[[#This Row],[Div]]*Table13232[[#This Row],[Nat and Combo Bet]])</f>
        <v/>
      </c>
      <c r="P366" s="135">
        <f>IF(Table13232[[#This Row],[Lev Ret]]="",Table13232[[#This Row],[Nat and Combo Bet]]*-1,O366-N366)</f>
        <v>-150</v>
      </c>
      <c r="Q366" s="50">
        <f t="shared" si="15"/>
        <v>1</v>
      </c>
      <c r="R366" s="50">
        <f>IF(AND(Q365=2,Q366=1),"",IF(Q366=2,(N366+N367)/2,IF(Table13232[[#This Row],[Dual Listing]]=1,Table13232[[#This Row],[Nat and Combo Bet]],11)))</f>
        <v>150</v>
      </c>
      <c r="S366" s="50" t="str">
        <f t="shared" si="16"/>
        <v/>
      </c>
      <c r="T366" s="50">
        <f t="shared" si="17"/>
        <v>-150</v>
      </c>
      <c r="U366" s="50" t="str">
        <f>IF(Table13232[[#This Row],[Date]]&lt;$U$4,"","Live")</f>
        <v/>
      </c>
      <c r="V366" s="45" t="str">
        <f>TEXT(Table13232[[#This Row],[Date]],"DDD")</f>
        <v>Sat</v>
      </c>
      <c r="W366" s="45" t="str">
        <f>PROPER(TRIM(Table13232[[#This Row],[Horse]]))</f>
        <v>Federer</v>
      </c>
    </row>
    <row r="367" spans="1:23" x14ac:dyDescent="0.25">
      <c r="A367" s="43">
        <v>45850</v>
      </c>
      <c r="B367" s="44">
        <v>0.5625</v>
      </c>
      <c r="C367" s="44" t="s">
        <v>13</v>
      </c>
      <c r="D367" s="45">
        <v>5</v>
      </c>
      <c r="E367" s="45">
        <v>2</v>
      </c>
      <c r="F367" s="46" t="s">
        <v>233</v>
      </c>
      <c r="G367" s="46"/>
      <c r="H367" s="47"/>
      <c r="I367" s="52" t="s">
        <v>297</v>
      </c>
      <c r="J367" s="45" t="str">
        <f>VLOOKUP(Table13232[[#This Row],[Track]],$C$836:$E$882,2,FALSE)</f>
        <v>NSW</v>
      </c>
      <c r="K367" s="49">
        <v>100</v>
      </c>
      <c r="L367" s="45" t="str">
        <f>IF(Table13232[[#This Row],[Fin]]&lt;&gt;"1st","",Table13232[[#This Row],[Div]]*Table13232[[#This Row],[Lev Bet]])</f>
        <v/>
      </c>
      <c r="M367" s="45">
        <f>IF(Table13232[[#This Row],[Lev Ret]]="",Table13232[[#This Row],[Lev Bet]]*-1,L367-K367)</f>
        <v>-100</v>
      </c>
      <c r="N367" s="135">
        <v>200</v>
      </c>
      <c r="O367" s="135" t="str">
        <f>IF(Table13232[[#This Row],[Fin]]&lt;&gt;"1st","",Table13232[[#This Row],[Div]]*Table13232[[#This Row],[Nat and Combo Bet]])</f>
        <v/>
      </c>
      <c r="P367" s="135">
        <f>IF(Table13232[[#This Row],[Lev Ret]]="",Table13232[[#This Row],[Nat and Combo Bet]]*-1,O367-N367)</f>
        <v>-200</v>
      </c>
      <c r="Q367" s="50">
        <f t="shared" si="15"/>
        <v>1</v>
      </c>
      <c r="R367" s="50">
        <f>IF(AND(Q366=2,Q367=1),"",IF(Q367=2,(N367+N368)/2,IF(Table13232[[#This Row],[Dual Listing]]=1,Table13232[[#This Row],[Nat and Combo Bet]],11)))</f>
        <v>200</v>
      </c>
      <c r="S367" s="50" t="str">
        <f t="shared" si="16"/>
        <v/>
      </c>
      <c r="T367" s="50">
        <f t="shared" si="17"/>
        <v>-200</v>
      </c>
      <c r="U367" s="50" t="str">
        <f>IF(Table13232[[#This Row],[Date]]&lt;$U$4,"","Live")</f>
        <v/>
      </c>
      <c r="V367" s="45" t="str">
        <f>TEXT(Table13232[[#This Row],[Date]],"DDD")</f>
        <v>Sat</v>
      </c>
      <c r="W367" s="45" t="str">
        <f>PROPER(TRIM(Table13232[[#This Row],[Horse]]))</f>
        <v>Piggyback</v>
      </c>
    </row>
    <row r="368" spans="1:23" x14ac:dyDescent="0.25">
      <c r="A368" s="43">
        <v>45850</v>
      </c>
      <c r="B368" s="44">
        <v>0.56805555555555554</v>
      </c>
      <c r="C368" s="44" t="s">
        <v>9</v>
      </c>
      <c r="D368" s="45">
        <v>4</v>
      </c>
      <c r="E368" s="45">
        <v>10</v>
      </c>
      <c r="F368" s="46" t="s">
        <v>197</v>
      </c>
      <c r="G368" s="46" t="s">
        <v>22</v>
      </c>
      <c r="H368" s="47"/>
      <c r="I368" s="47" t="s">
        <v>298</v>
      </c>
      <c r="J368" s="45" t="str">
        <f>VLOOKUP(Table13232[[#This Row],[Track]],$C$836:$E$882,2,FALSE)</f>
        <v>Qld</v>
      </c>
      <c r="K368" s="49">
        <v>100</v>
      </c>
      <c r="L368" s="45" t="str">
        <f>IF(Table13232[[#This Row],[Fin]]&lt;&gt;"1st","",Table13232[[#This Row],[Div]]*Table13232[[#This Row],[Lev Bet]])</f>
        <v/>
      </c>
      <c r="M368" s="45">
        <f>IF(Table13232[[#This Row],[Lev Ret]]="",Table13232[[#This Row],[Lev Bet]]*-1,L368-K368)</f>
        <v>-100</v>
      </c>
      <c r="N368" s="135">
        <v>100</v>
      </c>
      <c r="O368" s="135" t="str">
        <f>IF(Table13232[[#This Row],[Fin]]&lt;&gt;"1st","",Table13232[[#This Row],[Div]]*Table13232[[#This Row],[Nat and Combo Bet]])</f>
        <v/>
      </c>
      <c r="P368" s="135">
        <f>IF(Table13232[[#This Row],[Lev Ret]]="",Table13232[[#This Row],[Nat and Combo Bet]]*-1,O368-N368)</f>
        <v>-100</v>
      </c>
      <c r="Q368" s="50">
        <f t="shared" si="15"/>
        <v>1</v>
      </c>
      <c r="R368" s="50">
        <f>IF(AND(Q367=2,Q368=1),"",IF(Q368=2,(N368+N369)/2,IF(Table13232[[#This Row],[Dual Listing]]=1,Table13232[[#This Row],[Nat and Combo Bet]],11)))</f>
        <v>100</v>
      </c>
      <c r="S368" s="50" t="str">
        <f t="shared" si="16"/>
        <v/>
      </c>
      <c r="T368" s="50">
        <f t="shared" si="17"/>
        <v>-100</v>
      </c>
      <c r="U368" s="50" t="str">
        <f>IF(Table13232[[#This Row],[Date]]&lt;$U$4,"","Live")</f>
        <v/>
      </c>
      <c r="V368" s="45" t="str">
        <f>TEXT(Table13232[[#This Row],[Date]],"DDD")</f>
        <v>Sat</v>
      </c>
      <c r="W368" s="45" t="str">
        <f>PROPER(TRIM(Table13232[[#This Row],[Horse]]))</f>
        <v>Merchant Flyer</v>
      </c>
    </row>
    <row r="369" spans="1:23" x14ac:dyDescent="0.25">
      <c r="A369" s="43">
        <v>45850</v>
      </c>
      <c r="B369" s="44">
        <v>0.57291666666666663</v>
      </c>
      <c r="C369" s="44" t="s">
        <v>34</v>
      </c>
      <c r="D369" s="45">
        <v>4</v>
      </c>
      <c r="E369" s="45">
        <v>1</v>
      </c>
      <c r="F369" s="46" t="s">
        <v>440</v>
      </c>
      <c r="G369" s="46" t="s">
        <v>23</v>
      </c>
      <c r="H369" s="47"/>
      <c r="I369" s="52" t="s">
        <v>297</v>
      </c>
      <c r="J369" s="45" t="str">
        <f>VLOOKUP(Table13232[[#This Row],[Track]],$C$836:$E$882,2,FALSE)</f>
        <v>Vic</v>
      </c>
      <c r="K369" s="49">
        <v>100</v>
      </c>
      <c r="L369" s="45" t="str">
        <f>IF(Table13232[[#This Row],[Fin]]&lt;&gt;"1st","",Table13232[[#This Row],[Div]]*Table13232[[#This Row],[Lev Bet]])</f>
        <v/>
      </c>
      <c r="M369" s="45">
        <f>IF(Table13232[[#This Row],[Lev Ret]]="",Table13232[[#This Row],[Lev Bet]]*-1,L369-K369)</f>
        <v>-100</v>
      </c>
      <c r="N369" s="135">
        <v>150</v>
      </c>
      <c r="O369" s="135" t="str">
        <f>IF(Table13232[[#This Row],[Fin]]&lt;&gt;"1st","",Table13232[[#This Row],[Div]]*Table13232[[#This Row],[Nat and Combo Bet]])</f>
        <v/>
      </c>
      <c r="P369" s="135">
        <f>IF(Table13232[[#This Row],[Lev Ret]]="",Table13232[[#This Row],[Nat and Combo Bet]]*-1,O369-N369)</f>
        <v>-150</v>
      </c>
      <c r="Q369" s="50">
        <f t="shared" si="15"/>
        <v>1</v>
      </c>
      <c r="R369" s="50">
        <f>IF(AND(Q368=2,Q369=1),"",IF(Q369=2,(N369+N370)/2,IF(Table13232[[#This Row],[Dual Listing]]=1,Table13232[[#This Row],[Nat and Combo Bet]],11)))</f>
        <v>150</v>
      </c>
      <c r="S369" s="50" t="str">
        <f t="shared" si="16"/>
        <v/>
      </c>
      <c r="T369" s="50">
        <f t="shared" si="17"/>
        <v>-150</v>
      </c>
      <c r="U369" s="50" t="str">
        <f>IF(Table13232[[#This Row],[Date]]&lt;$U$4,"","Live")</f>
        <v/>
      </c>
      <c r="V369" s="45" t="str">
        <f>TEXT(Table13232[[#This Row],[Date]],"DDD")</f>
        <v>Sat</v>
      </c>
      <c r="W369" s="45" t="str">
        <f>PROPER(TRIM(Table13232[[#This Row],[Horse]]))</f>
        <v>Pounding</v>
      </c>
    </row>
    <row r="370" spans="1:23" x14ac:dyDescent="0.25">
      <c r="A370" s="43">
        <v>45850</v>
      </c>
      <c r="B370" s="44">
        <v>0.58680555555555558</v>
      </c>
      <c r="C370" s="44" t="s">
        <v>13</v>
      </c>
      <c r="D370" s="45">
        <v>6</v>
      </c>
      <c r="E370" s="45">
        <v>4</v>
      </c>
      <c r="F370" s="46" t="s">
        <v>441</v>
      </c>
      <c r="G370" s="46" t="s">
        <v>22</v>
      </c>
      <c r="H370" s="47"/>
      <c r="I370" s="52" t="s">
        <v>297</v>
      </c>
      <c r="J370" s="45" t="str">
        <f>VLOOKUP(Table13232[[#This Row],[Track]],$C$836:$E$882,2,FALSE)</f>
        <v>NSW</v>
      </c>
      <c r="K370" s="49">
        <v>100</v>
      </c>
      <c r="L370" s="45" t="str">
        <f>IF(Table13232[[#This Row],[Fin]]&lt;&gt;"1st","",Table13232[[#This Row],[Div]]*Table13232[[#This Row],[Lev Bet]])</f>
        <v/>
      </c>
      <c r="M370" s="45">
        <f>IF(Table13232[[#This Row],[Lev Ret]]="",Table13232[[#This Row],[Lev Bet]]*-1,L370-K370)</f>
        <v>-100</v>
      </c>
      <c r="N370" s="135">
        <v>150</v>
      </c>
      <c r="O370" s="135" t="str">
        <f>IF(Table13232[[#This Row],[Fin]]&lt;&gt;"1st","",Table13232[[#This Row],[Div]]*Table13232[[#This Row],[Nat and Combo Bet]])</f>
        <v/>
      </c>
      <c r="P370" s="135">
        <f>IF(Table13232[[#This Row],[Lev Ret]]="",Table13232[[#This Row],[Nat and Combo Bet]]*-1,O370-N370)</f>
        <v>-150</v>
      </c>
      <c r="Q370" s="50">
        <f t="shared" si="15"/>
        <v>1</v>
      </c>
      <c r="R370" s="50">
        <f>IF(AND(Q369=2,Q370=1),"",IF(Q370=2,(N370+N371)/2,IF(Table13232[[#This Row],[Dual Listing]]=1,Table13232[[#This Row],[Nat and Combo Bet]],11)))</f>
        <v>150</v>
      </c>
      <c r="S370" s="50" t="str">
        <f t="shared" si="16"/>
        <v/>
      </c>
      <c r="T370" s="50">
        <f t="shared" si="17"/>
        <v>-150</v>
      </c>
      <c r="U370" s="50" t="str">
        <f>IF(Table13232[[#This Row],[Date]]&lt;$U$4,"","Live")</f>
        <v/>
      </c>
      <c r="V370" s="45" t="str">
        <f>TEXT(Table13232[[#This Row],[Date]],"DDD")</f>
        <v>Sat</v>
      </c>
      <c r="W370" s="45" t="str">
        <f>PROPER(TRIM(Table13232[[#This Row],[Horse]]))</f>
        <v>Zaphod</v>
      </c>
    </row>
    <row r="371" spans="1:23" x14ac:dyDescent="0.25">
      <c r="A371" s="43">
        <v>45850</v>
      </c>
      <c r="B371" s="44">
        <v>0.59236111111111112</v>
      </c>
      <c r="C371" s="44" t="s">
        <v>9</v>
      </c>
      <c r="D371" s="45">
        <v>5</v>
      </c>
      <c r="E371" s="45">
        <v>2</v>
      </c>
      <c r="F371" s="46" t="s">
        <v>198</v>
      </c>
      <c r="G371" s="46" t="s">
        <v>21</v>
      </c>
      <c r="H371" s="47">
        <v>9</v>
      </c>
      <c r="I371" s="47" t="s">
        <v>298</v>
      </c>
      <c r="J371" s="45" t="str">
        <f>VLOOKUP(Table13232[[#This Row],[Track]],$C$836:$E$882,2,FALSE)</f>
        <v>Qld</v>
      </c>
      <c r="K371" s="49">
        <v>100</v>
      </c>
      <c r="L371" s="45">
        <f>IF(Table13232[[#This Row],[Fin]]&lt;&gt;"1st","",Table13232[[#This Row],[Div]]*Table13232[[#This Row],[Lev Bet]])</f>
        <v>900</v>
      </c>
      <c r="M371" s="45">
        <f>IF(Table13232[[#This Row],[Lev Ret]]="",Table13232[[#This Row],[Lev Bet]]*-1,L371-K371)</f>
        <v>800</v>
      </c>
      <c r="N371" s="135">
        <v>100</v>
      </c>
      <c r="O371" s="135">
        <f>IF(Table13232[[#This Row],[Fin]]&lt;&gt;"1st","",Table13232[[#This Row],[Div]]*Table13232[[#This Row],[Nat and Combo Bet]])</f>
        <v>900</v>
      </c>
      <c r="P371" s="135">
        <f>IF(Table13232[[#This Row],[Lev Ret]]="",Table13232[[#This Row],[Nat and Combo Bet]]*-1,O371-N371)</f>
        <v>800</v>
      </c>
      <c r="Q371" s="50">
        <f t="shared" si="15"/>
        <v>1</v>
      </c>
      <c r="R371" s="50">
        <f>IF(AND(Q370=2,Q371=1),"",IF(Q371=2,(N371+N372)/2,IF(Table13232[[#This Row],[Dual Listing]]=1,Table13232[[#This Row],[Nat and Combo Bet]],11)))</f>
        <v>100</v>
      </c>
      <c r="S371" s="50">
        <f t="shared" si="16"/>
        <v>900</v>
      </c>
      <c r="T371" s="50">
        <f t="shared" si="17"/>
        <v>800</v>
      </c>
      <c r="U371" s="50" t="str">
        <f>IF(Table13232[[#This Row],[Date]]&lt;$U$4,"","Live")</f>
        <v/>
      </c>
      <c r="V371" s="45" t="str">
        <f>TEXT(Table13232[[#This Row],[Date]],"DDD")</f>
        <v>Sat</v>
      </c>
      <c r="W371" s="45" t="str">
        <f>PROPER(TRIM(Table13232[[#This Row],[Horse]]))</f>
        <v>Restonica</v>
      </c>
    </row>
    <row r="372" spans="1:23" x14ac:dyDescent="0.25">
      <c r="A372" s="43">
        <v>45850</v>
      </c>
      <c r="B372" s="44">
        <v>0.61944444444444446</v>
      </c>
      <c r="C372" s="44" t="s">
        <v>9</v>
      </c>
      <c r="D372" s="45">
        <v>6</v>
      </c>
      <c r="E372" s="45">
        <v>5</v>
      </c>
      <c r="F372" s="46" t="s">
        <v>199</v>
      </c>
      <c r="G372" s="46" t="s">
        <v>22</v>
      </c>
      <c r="H372" s="47"/>
      <c r="I372" s="47" t="s">
        <v>298</v>
      </c>
      <c r="J372" s="45" t="str">
        <f>VLOOKUP(Table13232[[#This Row],[Track]],$C$836:$E$882,2,FALSE)</f>
        <v>Qld</v>
      </c>
      <c r="K372" s="49">
        <v>100</v>
      </c>
      <c r="L372" s="45" t="str">
        <f>IF(Table13232[[#This Row],[Fin]]&lt;&gt;"1st","",Table13232[[#This Row],[Div]]*Table13232[[#This Row],[Lev Bet]])</f>
        <v/>
      </c>
      <c r="M372" s="45">
        <f>IF(Table13232[[#This Row],[Lev Ret]]="",Table13232[[#This Row],[Lev Bet]]*-1,L372-K372)</f>
        <v>-100</v>
      </c>
      <c r="N372" s="135">
        <v>100</v>
      </c>
      <c r="O372" s="135" t="str">
        <f>IF(Table13232[[#This Row],[Fin]]&lt;&gt;"1st","",Table13232[[#This Row],[Div]]*Table13232[[#This Row],[Nat and Combo Bet]])</f>
        <v/>
      </c>
      <c r="P372" s="135">
        <f>IF(Table13232[[#This Row],[Lev Ret]]="",Table13232[[#This Row],[Nat and Combo Bet]]*-1,O372-N372)</f>
        <v>-100</v>
      </c>
      <c r="Q372" s="50">
        <f t="shared" si="15"/>
        <v>1</v>
      </c>
      <c r="R372" s="50">
        <f>IF(AND(Q371=2,Q372=1),"",IF(Q372=2,(N372+N373)/2,IF(Table13232[[#This Row],[Dual Listing]]=1,Table13232[[#This Row],[Nat and Combo Bet]],11)))</f>
        <v>100</v>
      </c>
      <c r="S372" s="50" t="str">
        <f t="shared" si="16"/>
        <v/>
      </c>
      <c r="T372" s="50">
        <f t="shared" si="17"/>
        <v>-100</v>
      </c>
      <c r="U372" s="50" t="str">
        <f>IF(Table13232[[#This Row],[Date]]&lt;$U$4,"","Live")</f>
        <v/>
      </c>
      <c r="V372" s="45" t="str">
        <f>TEXT(Table13232[[#This Row],[Date]],"DDD")</f>
        <v>Sat</v>
      </c>
      <c r="W372" s="45" t="str">
        <f>PROPER(TRIM(Table13232[[#This Row],[Horse]]))</f>
        <v>Aolani</v>
      </c>
    </row>
    <row r="373" spans="1:23" x14ac:dyDescent="0.25">
      <c r="A373" s="43">
        <v>45850</v>
      </c>
      <c r="B373" s="44">
        <v>0.63888888888888884</v>
      </c>
      <c r="C373" s="44" t="s">
        <v>13</v>
      </c>
      <c r="D373" s="45">
        <v>8</v>
      </c>
      <c r="E373" s="45">
        <v>4</v>
      </c>
      <c r="F373" s="46" t="s">
        <v>90</v>
      </c>
      <c r="G373" s="46" t="s">
        <v>21</v>
      </c>
      <c r="H373" s="47">
        <v>4</v>
      </c>
      <c r="I373" s="52" t="s">
        <v>297</v>
      </c>
      <c r="J373" s="45" t="str">
        <f>VLOOKUP(Table13232[[#This Row],[Track]],$C$836:$E$882,2,FALSE)</f>
        <v>NSW</v>
      </c>
      <c r="K373" s="49">
        <v>100</v>
      </c>
      <c r="L373" s="45">
        <f>IF(Table13232[[#This Row],[Fin]]&lt;&gt;"1st","",Table13232[[#This Row],[Div]]*Table13232[[#This Row],[Lev Bet]])</f>
        <v>400</v>
      </c>
      <c r="M373" s="45">
        <f>IF(Table13232[[#This Row],[Lev Ret]]="",Table13232[[#This Row],[Lev Bet]]*-1,L373-K373)</f>
        <v>300</v>
      </c>
      <c r="N373" s="135">
        <v>150</v>
      </c>
      <c r="O373" s="135">
        <f>IF(Table13232[[#This Row],[Fin]]&lt;&gt;"1st","",Table13232[[#This Row],[Div]]*Table13232[[#This Row],[Nat and Combo Bet]])</f>
        <v>600</v>
      </c>
      <c r="P373" s="135">
        <f>IF(Table13232[[#This Row],[Lev Ret]]="",Table13232[[#This Row],[Nat and Combo Bet]]*-1,O373-N373)</f>
        <v>450</v>
      </c>
      <c r="Q373" s="50">
        <f t="shared" si="15"/>
        <v>1</v>
      </c>
      <c r="R373" s="50">
        <f>IF(AND(Q372=2,Q373=1),"",IF(Q373=2,(N373+N374)/2,IF(Table13232[[#This Row],[Dual Listing]]=1,Table13232[[#This Row],[Nat and Combo Bet]],11)))</f>
        <v>150</v>
      </c>
      <c r="S373" s="50">
        <f t="shared" si="16"/>
        <v>600</v>
      </c>
      <c r="T373" s="50">
        <f t="shared" si="17"/>
        <v>450</v>
      </c>
      <c r="U373" s="50" t="str">
        <f>IF(Table13232[[#This Row],[Date]]&lt;$U$4,"","Live")</f>
        <v/>
      </c>
      <c r="V373" s="45" t="str">
        <f>TEXT(Table13232[[#This Row],[Date]],"DDD")</f>
        <v>Sat</v>
      </c>
      <c r="W373" s="45" t="str">
        <f>PROPER(TRIM(Table13232[[#This Row],[Horse]]))</f>
        <v>Oh Diamond Lil</v>
      </c>
    </row>
    <row r="374" spans="1:23" x14ac:dyDescent="0.25">
      <c r="A374" s="43">
        <v>45850</v>
      </c>
      <c r="B374" s="44">
        <v>0.65277777777777779</v>
      </c>
      <c r="C374" s="44" t="s">
        <v>34</v>
      </c>
      <c r="D374" s="45">
        <v>7</v>
      </c>
      <c r="E374" s="45">
        <v>1</v>
      </c>
      <c r="F374" s="46" t="s">
        <v>442</v>
      </c>
      <c r="G374" s="46"/>
      <c r="H374" s="47"/>
      <c r="I374" s="52" t="s">
        <v>297</v>
      </c>
      <c r="J374" s="45" t="str">
        <f>VLOOKUP(Table13232[[#This Row],[Track]],$C$836:$E$882,2,FALSE)</f>
        <v>Vic</v>
      </c>
      <c r="K374" s="49">
        <v>100</v>
      </c>
      <c r="L374" s="45" t="str">
        <f>IF(Table13232[[#This Row],[Fin]]&lt;&gt;"1st","",Table13232[[#This Row],[Div]]*Table13232[[#This Row],[Lev Bet]])</f>
        <v/>
      </c>
      <c r="M374" s="45">
        <f>IF(Table13232[[#This Row],[Lev Ret]]="",Table13232[[#This Row],[Lev Bet]]*-1,L374-K374)</f>
        <v>-100</v>
      </c>
      <c r="N374" s="135">
        <v>150</v>
      </c>
      <c r="O374" s="135" t="str">
        <f>IF(Table13232[[#This Row],[Fin]]&lt;&gt;"1st","",Table13232[[#This Row],[Div]]*Table13232[[#This Row],[Nat and Combo Bet]])</f>
        <v/>
      </c>
      <c r="P374" s="135">
        <f>IF(Table13232[[#This Row],[Lev Ret]]="",Table13232[[#This Row],[Nat and Combo Bet]]*-1,O374-N374)</f>
        <v>-150</v>
      </c>
      <c r="Q374" s="50">
        <f t="shared" si="15"/>
        <v>1</v>
      </c>
      <c r="R374" s="50">
        <f>IF(AND(Q373=2,Q374=1),"",IF(Q374=2,(N374+N375)/2,IF(Table13232[[#This Row],[Dual Listing]]=1,Table13232[[#This Row],[Nat and Combo Bet]],11)))</f>
        <v>150</v>
      </c>
      <c r="S374" s="50" t="str">
        <f t="shared" si="16"/>
        <v/>
      </c>
      <c r="T374" s="50">
        <f t="shared" si="17"/>
        <v>-150</v>
      </c>
      <c r="U374" s="50" t="str">
        <f>IF(Table13232[[#This Row],[Date]]&lt;$U$4,"","Live")</f>
        <v/>
      </c>
      <c r="V374" s="45" t="str">
        <f>TEXT(Table13232[[#This Row],[Date]],"DDD")</f>
        <v>Sat</v>
      </c>
      <c r="W374" s="45" t="str">
        <f>PROPER(TRIM(Table13232[[#This Row],[Horse]]))</f>
        <v>Lim'S Saltoro</v>
      </c>
    </row>
    <row r="375" spans="1:23" x14ac:dyDescent="0.25">
      <c r="A375" s="43">
        <v>45850</v>
      </c>
      <c r="B375" s="44">
        <v>0.65277777777777779</v>
      </c>
      <c r="C375" s="44" t="s">
        <v>34</v>
      </c>
      <c r="D375" s="45">
        <v>7</v>
      </c>
      <c r="E375" s="45">
        <v>9</v>
      </c>
      <c r="F375" s="46" t="s">
        <v>48</v>
      </c>
      <c r="G375" s="46"/>
      <c r="H375" s="47"/>
      <c r="I375" s="52" t="s">
        <v>297</v>
      </c>
      <c r="J375" s="45" t="str">
        <f>VLOOKUP(Table13232[[#This Row],[Track]],$C$836:$E$882,2,FALSE)</f>
        <v>Vic</v>
      </c>
      <c r="K375" s="49">
        <v>100</v>
      </c>
      <c r="L375" s="45" t="str">
        <f>IF(Table13232[[#This Row],[Fin]]&lt;&gt;"1st","",Table13232[[#This Row],[Div]]*Table13232[[#This Row],[Lev Bet]])</f>
        <v/>
      </c>
      <c r="M375" s="45">
        <f>IF(Table13232[[#This Row],[Lev Ret]]="",Table13232[[#This Row],[Lev Bet]]*-1,L375-K375)</f>
        <v>-100</v>
      </c>
      <c r="N375" s="135">
        <v>100</v>
      </c>
      <c r="O375" s="135" t="str">
        <f>IF(Table13232[[#This Row],[Fin]]&lt;&gt;"1st","",Table13232[[#This Row],[Div]]*Table13232[[#This Row],[Nat and Combo Bet]])</f>
        <v/>
      </c>
      <c r="P375" s="135">
        <f>IF(Table13232[[#This Row],[Lev Ret]]="",Table13232[[#This Row],[Nat and Combo Bet]]*-1,O375-N375)</f>
        <v>-100</v>
      </c>
      <c r="Q375" s="50">
        <f t="shared" si="15"/>
        <v>1</v>
      </c>
      <c r="R375" s="50">
        <f>IF(AND(Q374=2,Q375=1),"",IF(Q375=2,(N375+N376)/2,IF(Table13232[[#This Row],[Dual Listing]]=1,Table13232[[#This Row],[Nat and Combo Bet]],11)))</f>
        <v>100</v>
      </c>
      <c r="S375" s="50" t="str">
        <f t="shared" si="16"/>
        <v/>
      </c>
      <c r="T375" s="50">
        <f t="shared" si="17"/>
        <v>-100</v>
      </c>
      <c r="U375" s="50" t="str">
        <f>IF(Table13232[[#This Row],[Date]]&lt;$U$4,"","Live")</f>
        <v/>
      </c>
      <c r="V375" s="45" t="str">
        <f>TEXT(Table13232[[#This Row],[Date]],"DDD")</f>
        <v>Sat</v>
      </c>
      <c r="W375" s="45" t="str">
        <f>PROPER(TRIM(Table13232[[#This Row],[Horse]]))</f>
        <v>The Open</v>
      </c>
    </row>
    <row r="376" spans="1:23" x14ac:dyDescent="0.25">
      <c r="A376" s="43">
        <v>45850</v>
      </c>
      <c r="B376" s="44">
        <v>0.65277777777777779</v>
      </c>
      <c r="C376" s="44" t="s">
        <v>34</v>
      </c>
      <c r="D376" s="45">
        <v>7</v>
      </c>
      <c r="E376" s="45">
        <v>3</v>
      </c>
      <c r="F376" s="46" t="s">
        <v>191</v>
      </c>
      <c r="G376" s="46" t="s">
        <v>22</v>
      </c>
      <c r="H376" s="47"/>
      <c r="I376" s="47" t="s">
        <v>298</v>
      </c>
      <c r="J376" s="45" t="str">
        <f>VLOOKUP(Table13232[[#This Row],[Track]],$C$836:$E$882,2,FALSE)</f>
        <v>Vic</v>
      </c>
      <c r="K376" s="49">
        <v>100</v>
      </c>
      <c r="L376" s="45" t="str">
        <f>IF(Table13232[[#This Row],[Fin]]&lt;&gt;"1st","",Table13232[[#This Row],[Div]]*Table13232[[#This Row],[Lev Bet]])</f>
        <v/>
      </c>
      <c r="M376" s="45">
        <f>IF(Table13232[[#This Row],[Lev Ret]]="",Table13232[[#This Row],[Lev Bet]]*-1,L376-K376)</f>
        <v>-100</v>
      </c>
      <c r="N376" s="135">
        <v>100</v>
      </c>
      <c r="O376" s="135" t="str">
        <f>IF(Table13232[[#This Row],[Fin]]&lt;&gt;"1st","",Table13232[[#This Row],[Div]]*Table13232[[#This Row],[Nat and Combo Bet]])</f>
        <v/>
      </c>
      <c r="P376" s="135">
        <f>IF(Table13232[[#This Row],[Lev Ret]]="",Table13232[[#This Row],[Nat and Combo Bet]]*-1,O376-N376)</f>
        <v>-100</v>
      </c>
      <c r="Q376" s="50">
        <f t="shared" si="15"/>
        <v>1</v>
      </c>
      <c r="R376" s="50">
        <f>IF(AND(Q375=2,Q376=1),"",IF(Q376=2,(N376+N377)/2,IF(Table13232[[#This Row],[Dual Listing]]=1,Table13232[[#This Row],[Nat and Combo Bet]],11)))</f>
        <v>100</v>
      </c>
      <c r="S376" s="50" t="str">
        <f t="shared" si="16"/>
        <v/>
      </c>
      <c r="T376" s="50">
        <f t="shared" si="17"/>
        <v>-100</v>
      </c>
      <c r="U376" s="50" t="str">
        <f>IF(Table13232[[#This Row],[Date]]&lt;$U$4,"","Live")</f>
        <v/>
      </c>
      <c r="V376" s="45" t="str">
        <f>TEXT(Table13232[[#This Row],[Date]],"DDD")</f>
        <v>Sat</v>
      </c>
      <c r="W376" s="45" t="str">
        <f>PROPER(TRIM(Table13232[[#This Row],[Horse]]))</f>
        <v>Yellow Sam</v>
      </c>
    </row>
    <row r="377" spans="1:23" x14ac:dyDescent="0.25">
      <c r="A377" s="43">
        <v>45850</v>
      </c>
      <c r="B377" s="44">
        <v>0.69097222222222221</v>
      </c>
      <c r="C377" s="44" t="s">
        <v>13</v>
      </c>
      <c r="D377" s="45">
        <v>10</v>
      </c>
      <c r="E377" s="45">
        <v>5</v>
      </c>
      <c r="F377" s="46" t="s">
        <v>169</v>
      </c>
      <c r="G377" s="46"/>
      <c r="H377" s="47"/>
      <c r="I377" s="52" t="s">
        <v>297</v>
      </c>
      <c r="J377" s="45" t="str">
        <f>VLOOKUP(Table13232[[#This Row],[Track]],$C$836:$E$882,2,FALSE)</f>
        <v>NSW</v>
      </c>
      <c r="K377" s="49">
        <v>100</v>
      </c>
      <c r="L377" s="45" t="str">
        <f>IF(Table13232[[#This Row],[Fin]]&lt;&gt;"1st","",Table13232[[#This Row],[Div]]*Table13232[[#This Row],[Lev Bet]])</f>
        <v/>
      </c>
      <c r="M377" s="45">
        <f>IF(Table13232[[#This Row],[Lev Ret]]="",Table13232[[#This Row],[Lev Bet]]*-1,L377-K377)</f>
        <v>-100</v>
      </c>
      <c r="N377" s="135">
        <v>150</v>
      </c>
      <c r="O377" s="135" t="str">
        <f>IF(Table13232[[#This Row],[Fin]]&lt;&gt;"1st","",Table13232[[#This Row],[Div]]*Table13232[[#This Row],[Nat and Combo Bet]])</f>
        <v/>
      </c>
      <c r="P377" s="135">
        <f>IF(Table13232[[#This Row],[Lev Ret]]="",Table13232[[#This Row],[Nat and Combo Bet]]*-1,O377-N377)</f>
        <v>-150</v>
      </c>
      <c r="Q377" s="50">
        <f t="shared" si="15"/>
        <v>1</v>
      </c>
      <c r="R377" s="50">
        <f>IF(AND(Q376=2,Q377=1),"",IF(Q377=2,(N377+N378)/2,IF(Table13232[[#This Row],[Dual Listing]]=1,Table13232[[#This Row],[Nat and Combo Bet]],11)))</f>
        <v>150</v>
      </c>
      <c r="S377" s="50" t="str">
        <f t="shared" si="16"/>
        <v/>
      </c>
      <c r="T377" s="50">
        <f t="shared" si="17"/>
        <v>-150</v>
      </c>
      <c r="U377" s="50" t="str">
        <f>IF(Table13232[[#This Row],[Date]]&lt;$U$4,"","Live")</f>
        <v/>
      </c>
      <c r="V377" s="45" t="str">
        <f>TEXT(Table13232[[#This Row],[Date]],"DDD")</f>
        <v>Sat</v>
      </c>
      <c r="W377" s="45" t="str">
        <f>PROPER(TRIM(Table13232[[#This Row],[Horse]]))</f>
        <v>Changing Colours</v>
      </c>
    </row>
    <row r="378" spans="1:23" x14ac:dyDescent="0.25">
      <c r="A378" s="43">
        <v>45857</v>
      </c>
      <c r="B378" s="44">
        <v>0.49305555555555558</v>
      </c>
      <c r="C378" s="44" t="s">
        <v>11</v>
      </c>
      <c r="D378" s="45">
        <v>2</v>
      </c>
      <c r="E378" s="45">
        <v>6</v>
      </c>
      <c r="F378" s="46" t="s">
        <v>427</v>
      </c>
      <c r="G378" s="46" t="s">
        <v>21</v>
      </c>
      <c r="H378" s="47">
        <v>3.6</v>
      </c>
      <c r="I378" s="52" t="s">
        <v>297</v>
      </c>
      <c r="J378" s="45" t="str">
        <f>VLOOKUP(Table13232[[#This Row],[Track]],$C$836:$E$882,2,FALSE)</f>
        <v>NSW</v>
      </c>
      <c r="K378" s="49">
        <v>100</v>
      </c>
      <c r="L378" s="45">
        <f>IF(Table13232[[#This Row],[Fin]]&lt;&gt;"1st","",Table13232[[#This Row],[Div]]*Table13232[[#This Row],[Lev Bet]])</f>
        <v>360</v>
      </c>
      <c r="M378" s="45">
        <f>IF(Table13232[[#This Row],[Lev Ret]]="",Table13232[[#This Row],[Lev Bet]]*-1,L378-K378)</f>
        <v>260</v>
      </c>
      <c r="N378" s="135">
        <v>140</v>
      </c>
      <c r="O378" s="135">
        <f>IF(Table13232[[#This Row],[Fin]]&lt;&gt;"1st","",Table13232[[#This Row],[Div]]*Table13232[[#This Row],[Nat and Combo Bet]])</f>
        <v>504</v>
      </c>
      <c r="P378" s="135">
        <f>IF(Table13232[[#This Row],[Lev Ret]]="",Table13232[[#This Row],[Nat and Combo Bet]]*-1,O378-N378)</f>
        <v>364</v>
      </c>
      <c r="Q378" s="50">
        <f t="shared" si="15"/>
        <v>1</v>
      </c>
      <c r="R378" s="50">
        <f>IF(AND(Q377=2,Q378=1),"",IF(Q378=2,(N378+N379)/2,IF(Table13232[[#This Row],[Dual Listing]]=1,Table13232[[#This Row],[Nat and Combo Bet]],11)))</f>
        <v>140</v>
      </c>
      <c r="S378" s="50">
        <f t="shared" si="16"/>
        <v>504</v>
      </c>
      <c r="T378" s="50">
        <f t="shared" si="17"/>
        <v>364</v>
      </c>
      <c r="U378" s="50" t="str">
        <f>IF(Table13232[[#This Row],[Date]]&lt;$U$4,"","Live")</f>
        <v/>
      </c>
      <c r="V378" s="45" t="str">
        <f>TEXT(Table13232[[#This Row],[Date]],"DDD")</f>
        <v>Sat</v>
      </c>
      <c r="W378" s="45" t="str">
        <f>PROPER(TRIM(Table13232[[#This Row],[Horse]]))</f>
        <v>Harry'S Bar</v>
      </c>
    </row>
    <row r="379" spans="1:23" x14ac:dyDescent="0.25">
      <c r="A379" s="43">
        <v>45857</v>
      </c>
      <c r="B379" s="44">
        <v>0.59027777777777779</v>
      </c>
      <c r="C379" s="44" t="s">
        <v>11</v>
      </c>
      <c r="D379" s="45">
        <v>6</v>
      </c>
      <c r="E379" s="45">
        <v>7</v>
      </c>
      <c r="F379" s="46" t="s">
        <v>200</v>
      </c>
      <c r="G379" s="46"/>
      <c r="H379" s="47"/>
      <c r="I379" s="47" t="s">
        <v>298</v>
      </c>
      <c r="J379" s="45" t="str">
        <f>VLOOKUP(Table13232[[#This Row],[Track]],$C$836:$E$882,2,FALSE)</f>
        <v>NSW</v>
      </c>
      <c r="K379" s="49">
        <v>100</v>
      </c>
      <c r="L379" s="45" t="str">
        <f>IF(Table13232[[#This Row],[Fin]]&lt;&gt;"1st","",Table13232[[#This Row],[Div]]*Table13232[[#This Row],[Lev Bet]])</f>
        <v/>
      </c>
      <c r="M379" s="45">
        <f>IF(Table13232[[#This Row],[Lev Ret]]="",Table13232[[#This Row],[Lev Bet]]*-1,L379-K379)</f>
        <v>-100</v>
      </c>
      <c r="N379" s="135">
        <v>150</v>
      </c>
      <c r="O379" s="135" t="str">
        <f>IF(Table13232[[#This Row],[Fin]]&lt;&gt;"1st","",Table13232[[#This Row],[Div]]*Table13232[[#This Row],[Nat and Combo Bet]])</f>
        <v/>
      </c>
      <c r="P379" s="135">
        <f>IF(Table13232[[#This Row],[Lev Ret]]="",Table13232[[#This Row],[Nat and Combo Bet]]*-1,O379-N379)</f>
        <v>-150</v>
      </c>
      <c r="Q379" s="50">
        <f t="shared" si="15"/>
        <v>1</v>
      </c>
      <c r="R379" s="50">
        <f>IF(AND(Q378=2,Q379=1),"",IF(Q379=2,(N379+N380)/2,IF(Table13232[[#This Row],[Dual Listing]]=1,Table13232[[#This Row],[Nat and Combo Bet]],11)))</f>
        <v>150</v>
      </c>
      <c r="S379" s="50" t="str">
        <f t="shared" si="16"/>
        <v/>
      </c>
      <c r="T379" s="50">
        <f t="shared" si="17"/>
        <v>-150</v>
      </c>
      <c r="U379" s="50" t="str">
        <f>IF(Table13232[[#This Row],[Date]]&lt;$U$4,"","Live")</f>
        <v/>
      </c>
      <c r="V379" s="45" t="str">
        <f>TEXT(Table13232[[#This Row],[Date]],"DDD")</f>
        <v>Sat</v>
      </c>
      <c r="W379" s="45" t="str">
        <f>PROPER(TRIM(Table13232[[#This Row],[Horse]]))</f>
        <v>Tuileries</v>
      </c>
    </row>
    <row r="380" spans="1:23" x14ac:dyDescent="0.25">
      <c r="A380" s="109">
        <v>45857</v>
      </c>
      <c r="B380" s="53">
        <v>0.61458333333333337</v>
      </c>
      <c r="C380" s="110" t="s">
        <v>11</v>
      </c>
      <c r="D380" s="111">
        <v>7</v>
      </c>
      <c r="E380" s="111">
        <v>10</v>
      </c>
      <c r="F380" s="112" t="s">
        <v>201</v>
      </c>
      <c r="G380" s="112" t="s">
        <v>22</v>
      </c>
      <c r="H380" s="113"/>
      <c r="I380" s="114" t="s">
        <v>297</v>
      </c>
      <c r="J380" s="45" t="str">
        <f>VLOOKUP(Table13232[[#This Row],[Track]],$C$836:$E$882,2,FALSE)</f>
        <v>NSW</v>
      </c>
      <c r="K380" s="55">
        <v>100</v>
      </c>
      <c r="L380" s="54" t="str">
        <f>IF(Table13232[[#This Row],[Fin]]&lt;&gt;"1st","",Table13232[[#This Row],[Div]]*Table13232[[#This Row],[Lev Bet]])</f>
        <v/>
      </c>
      <c r="M380" s="54">
        <f>IF(Table13232[[#This Row],[Lev Ret]]="",Table13232[[#This Row],[Lev Bet]]*-1,L380-K380)</f>
        <v>-100</v>
      </c>
      <c r="N380" s="135">
        <v>100</v>
      </c>
      <c r="O380" s="135" t="str">
        <f>IF(Table13232[[#This Row],[Fin]]&lt;&gt;"1st","",Table13232[[#This Row],[Div]]*Table13232[[#This Row],[Nat and Combo Bet]])</f>
        <v/>
      </c>
      <c r="P380" s="135">
        <f>IF(Table13232[[#This Row],[Lev Ret]]="",Table13232[[#This Row],[Nat and Combo Bet]]*-1,O380-N380)</f>
        <v>-100</v>
      </c>
      <c r="Q380" s="50">
        <f t="shared" si="15"/>
        <v>2</v>
      </c>
      <c r="R380" s="50">
        <f>IF(AND(Q379=2,Q380=1),"",IF(Q380=2,(N380+N381)/2,IF(Table13232[[#This Row],[Dual Listing]]=1,Table13232[[#This Row],[Nat and Combo Bet]],11)))</f>
        <v>125</v>
      </c>
      <c r="S380" s="50" t="str">
        <f t="shared" si="16"/>
        <v/>
      </c>
      <c r="T380" s="50">
        <f t="shared" si="17"/>
        <v>-125</v>
      </c>
      <c r="U380" s="50" t="str">
        <f>IF(Table13232[[#This Row],[Date]]&lt;$U$4,"","Live")</f>
        <v/>
      </c>
      <c r="V380" s="45" t="str">
        <f>TEXT(Table13232[[#This Row],[Date]],"DDD")</f>
        <v>Sat</v>
      </c>
      <c r="W380" s="45" t="str">
        <f>PROPER(TRIM(Table13232[[#This Row],[Horse]]))</f>
        <v>Fioprospero</v>
      </c>
    </row>
    <row r="381" spans="1:23" x14ac:dyDescent="0.25">
      <c r="A381" s="109">
        <v>45857</v>
      </c>
      <c r="B381" s="53">
        <v>0.61458333333333337</v>
      </c>
      <c r="C381" s="110" t="s">
        <v>11</v>
      </c>
      <c r="D381" s="111">
        <v>7</v>
      </c>
      <c r="E381" s="111">
        <v>10</v>
      </c>
      <c r="F381" s="112" t="s">
        <v>201</v>
      </c>
      <c r="G381" s="112" t="s">
        <v>22</v>
      </c>
      <c r="H381" s="113"/>
      <c r="I381" s="113" t="s">
        <v>298</v>
      </c>
      <c r="J381" s="45" t="str">
        <f>VLOOKUP(Table13232[[#This Row],[Track]],$C$836:$E$882,2,FALSE)</f>
        <v>NSW</v>
      </c>
      <c r="K381" s="55">
        <v>100</v>
      </c>
      <c r="L381" s="54" t="str">
        <f>IF(Table13232[[#This Row],[Fin]]&lt;&gt;"1st","",Table13232[[#This Row],[Div]]*Table13232[[#This Row],[Lev Bet]])</f>
        <v/>
      </c>
      <c r="M381" s="54">
        <f>IF(Table13232[[#This Row],[Lev Ret]]="",Table13232[[#This Row],[Lev Bet]]*-1,L381-K381)</f>
        <v>-100</v>
      </c>
      <c r="N381" s="135">
        <v>150</v>
      </c>
      <c r="O381" s="135" t="str">
        <f>IF(Table13232[[#This Row],[Fin]]&lt;&gt;"1st","",Table13232[[#This Row],[Div]]*Table13232[[#This Row],[Nat and Combo Bet]])</f>
        <v/>
      </c>
      <c r="P381" s="135">
        <f>IF(Table13232[[#This Row],[Lev Ret]]="",Table13232[[#This Row],[Nat and Combo Bet]]*-1,O381-N381)</f>
        <v>-150</v>
      </c>
      <c r="Q381" s="50">
        <f t="shared" si="15"/>
        <v>1</v>
      </c>
      <c r="R381" s="50" t="str">
        <f>IF(AND(Q380=2,Q381=1),"",IF(Q381=2,(N381+N382)/2,IF(Table13232[[#This Row],[Dual Listing]]=1,Table13232[[#This Row],[Nat and Combo Bet]],11)))</f>
        <v/>
      </c>
      <c r="S381" s="50" t="str">
        <f t="shared" si="16"/>
        <v/>
      </c>
      <c r="T381" s="50" t="str">
        <f t="shared" si="17"/>
        <v/>
      </c>
      <c r="U381" s="50" t="str">
        <f>IF(Table13232[[#This Row],[Date]]&lt;$U$4,"","Live")</f>
        <v/>
      </c>
      <c r="V381" s="45" t="str">
        <f>TEXT(Table13232[[#This Row],[Date]],"DDD")</f>
        <v>Sat</v>
      </c>
      <c r="W381" s="45" t="str">
        <f>PROPER(TRIM(Table13232[[#This Row],[Horse]]))</f>
        <v>Fioprospero</v>
      </c>
    </row>
    <row r="382" spans="1:23" x14ac:dyDescent="0.25">
      <c r="A382" s="43">
        <v>45857</v>
      </c>
      <c r="B382" s="44">
        <v>0.62847222222222221</v>
      </c>
      <c r="C382" s="44" t="s">
        <v>10</v>
      </c>
      <c r="D382" s="45">
        <v>6</v>
      </c>
      <c r="E382" s="45">
        <v>3</v>
      </c>
      <c r="F382" s="46" t="s">
        <v>382</v>
      </c>
      <c r="G382" s="46"/>
      <c r="H382" s="47"/>
      <c r="I382" s="52" t="s">
        <v>297</v>
      </c>
      <c r="J382" s="45" t="str">
        <f>VLOOKUP(Table13232[[#This Row],[Track]],$C$836:$E$882,2,FALSE)</f>
        <v>Vic</v>
      </c>
      <c r="K382" s="49">
        <v>100</v>
      </c>
      <c r="L382" s="45" t="str">
        <f>IF(Table13232[[#This Row],[Fin]]&lt;&gt;"1st","",Table13232[[#This Row],[Div]]*Table13232[[#This Row],[Lev Bet]])</f>
        <v/>
      </c>
      <c r="M382" s="45">
        <f>IF(Table13232[[#This Row],[Lev Ret]]="",Table13232[[#This Row],[Lev Bet]]*-1,L382-K382)</f>
        <v>-100</v>
      </c>
      <c r="N382" s="135">
        <v>50</v>
      </c>
      <c r="O382" s="135" t="str">
        <f>IF(Table13232[[#This Row],[Fin]]&lt;&gt;"1st","",Table13232[[#This Row],[Div]]*Table13232[[#This Row],[Nat and Combo Bet]])</f>
        <v/>
      </c>
      <c r="P382" s="135">
        <f>IF(Table13232[[#This Row],[Lev Ret]]="",Table13232[[#This Row],[Nat and Combo Bet]]*-1,O382-N382)</f>
        <v>-50</v>
      </c>
      <c r="Q382" s="50">
        <f t="shared" si="15"/>
        <v>1</v>
      </c>
      <c r="R382" s="50">
        <f>IF(AND(Q381=2,Q382=1),"",IF(Q382=2,(N382+N383)/2,IF(Table13232[[#This Row],[Dual Listing]]=1,Table13232[[#This Row],[Nat and Combo Bet]],11)))</f>
        <v>50</v>
      </c>
      <c r="S382" s="50" t="str">
        <f t="shared" si="16"/>
        <v/>
      </c>
      <c r="T382" s="50">
        <f t="shared" si="17"/>
        <v>-50</v>
      </c>
      <c r="U382" s="50" t="str">
        <f>IF(Table13232[[#This Row],[Date]]&lt;$U$4,"","Live")</f>
        <v/>
      </c>
      <c r="V382" s="45" t="str">
        <f>TEXT(Table13232[[#This Row],[Date]],"DDD")</f>
        <v>Sat</v>
      </c>
      <c r="W382" s="45" t="str">
        <f>PROPER(TRIM(Table13232[[#This Row],[Horse]]))</f>
        <v>Eye Of The Fire</v>
      </c>
    </row>
    <row r="383" spans="1:23" x14ac:dyDescent="0.25">
      <c r="A383" s="43">
        <v>45857</v>
      </c>
      <c r="B383" s="44">
        <v>0.62847222222222221</v>
      </c>
      <c r="C383" s="44" t="s">
        <v>10</v>
      </c>
      <c r="D383" s="45">
        <v>6</v>
      </c>
      <c r="E383" s="45">
        <v>8</v>
      </c>
      <c r="F383" s="46" t="s">
        <v>202</v>
      </c>
      <c r="G383" s="46" t="s">
        <v>21</v>
      </c>
      <c r="H383" s="47">
        <v>2.4</v>
      </c>
      <c r="I383" s="47" t="s">
        <v>298</v>
      </c>
      <c r="J383" s="45" t="str">
        <f>VLOOKUP(Table13232[[#This Row],[Track]],$C$836:$E$882,2,FALSE)</f>
        <v>Vic</v>
      </c>
      <c r="K383" s="49">
        <v>100</v>
      </c>
      <c r="L383" s="45">
        <f>IF(Table13232[[#This Row],[Fin]]&lt;&gt;"1st","",Table13232[[#This Row],[Div]]*Table13232[[#This Row],[Lev Bet]])</f>
        <v>240</v>
      </c>
      <c r="M383" s="45">
        <f>IF(Table13232[[#This Row],[Lev Ret]]="",Table13232[[#This Row],[Lev Bet]]*-1,L383-K383)</f>
        <v>140</v>
      </c>
      <c r="N383" s="135">
        <v>100</v>
      </c>
      <c r="O383" s="135">
        <f>IF(Table13232[[#This Row],[Fin]]&lt;&gt;"1st","",Table13232[[#This Row],[Div]]*Table13232[[#This Row],[Nat and Combo Bet]])</f>
        <v>240</v>
      </c>
      <c r="P383" s="135">
        <f>IF(Table13232[[#This Row],[Lev Ret]]="",Table13232[[#This Row],[Nat and Combo Bet]]*-1,O383-N383)</f>
        <v>140</v>
      </c>
      <c r="Q383" s="50">
        <f t="shared" si="15"/>
        <v>1</v>
      </c>
      <c r="R383" s="50">
        <f>IF(AND(Q382=2,Q383=1),"",IF(Q383=2,(N383+N384)/2,IF(Table13232[[#This Row],[Dual Listing]]=1,Table13232[[#This Row],[Nat and Combo Bet]],11)))</f>
        <v>100</v>
      </c>
      <c r="S383" s="50">
        <f t="shared" si="16"/>
        <v>240</v>
      </c>
      <c r="T383" s="50">
        <f t="shared" si="17"/>
        <v>140</v>
      </c>
      <c r="U383" s="50" t="str">
        <f>IF(Table13232[[#This Row],[Date]]&lt;$U$4,"","Live")</f>
        <v/>
      </c>
      <c r="V383" s="45" t="str">
        <f>TEXT(Table13232[[#This Row],[Date]],"DDD")</f>
        <v>Sat</v>
      </c>
      <c r="W383" s="45" t="str">
        <f>PROPER(TRIM(Table13232[[#This Row],[Horse]]))</f>
        <v>La Fracas</v>
      </c>
    </row>
    <row r="384" spans="1:23" x14ac:dyDescent="0.25">
      <c r="A384" s="43">
        <v>45857</v>
      </c>
      <c r="B384" s="44">
        <v>0.64236111111111116</v>
      </c>
      <c r="C384" s="44" t="s">
        <v>11</v>
      </c>
      <c r="D384" s="45">
        <v>8</v>
      </c>
      <c r="E384" s="45">
        <v>8</v>
      </c>
      <c r="F384" s="46" t="s">
        <v>430</v>
      </c>
      <c r="G384" s="46" t="s">
        <v>23</v>
      </c>
      <c r="H384" s="47"/>
      <c r="I384" s="52" t="s">
        <v>297</v>
      </c>
      <c r="J384" s="45" t="str">
        <f>VLOOKUP(Table13232[[#This Row],[Track]],$C$836:$E$882,2,FALSE)</f>
        <v>NSW</v>
      </c>
      <c r="K384" s="49">
        <v>100</v>
      </c>
      <c r="L384" s="45" t="str">
        <f>IF(Table13232[[#This Row],[Fin]]&lt;&gt;"1st","",Table13232[[#This Row],[Div]]*Table13232[[#This Row],[Lev Bet]])</f>
        <v/>
      </c>
      <c r="M384" s="45">
        <f>IF(Table13232[[#This Row],[Lev Ret]]="",Table13232[[#This Row],[Lev Bet]]*-1,L384-K384)</f>
        <v>-100</v>
      </c>
      <c r="N384" s="135">
        <v>150</v>
      </c>
      <c r="O384" s="135" t="str">
        <f>IF(Table13232[[#This Row],[Fin]]&lt;&gt;"1st","",Table13232[[#This Row],[Div]]*Table13232[[#This Row],[Nat and Combo Bet]])</f>
        <v/>
      </c>
      <c r="P384" s="135">
        <f>IF(Table13232[[#This Row],[Lev Ret]]="",Table13232[[#This Row],[Nat and Combo Bet]]*-1,O384-N384)</f>
        <v>-150</v>
      </c>
      <c r="Q384" s="50">
        <f t="shared" si="15"/>
        <v>1</v>
      </c>
      <c r="R384" s="50">
        <f>IF(AND(Q383=2,Q384=1),"",IF(Q384=2,(N384+N385)/2,IF(Table13232[[#This Row],[Dual Listing]]=1,Table13232[[#This Row],[Nat and Combo Bet]],11)))</f>
        <v>150</v>
      </c>
      <c r="S384" s="50" t="str">
        <f t="shared" si="16"/>
        <v/>
      </c>
      <c r="T384" s="50">
        <f t="shared" si="17"/>
        <v>-150</v>
      </c>
      <c r="U384" s="50" t="str">
        <f>IF(Table13232[[#This Row],[Date]]&lt;$U$4,"","Live")</f>
        <v/>
      </c>
      <c r="V384" s="45" t="str">
        <f>TEXT(Table13232[[#This Row],[Date]],"DDD")</f>
        <v>Sat</v>
      </c>
      <c r="W384" s="45" t="str">
        <f>PROPER(TRIM(Table13232[[#This Row],[Horse]]))</f>
        <v>Storm The Ramparts</v>
      </c>
    </row>
    <row r="385" spans="1:23" x14ac:dyDescent="0.25">
      <c r="A385" s="43">
        <v>45857</v>
      </c>
      <c r="B385" s="44">
        <v>0.65625</v>
      </c>
      <c r="C385" s="44" t="s">
        <v>10</v>
      </c>
      <c r="D385" s="45">
        <v>7</v>
      </c>
      <c r="E385" s="45">
        <v>4</v>
      </c>
      <c r="F385" s="46" t="s">
        <v>207</v>
      </c>
      <c r="G385" s="46"/>
      <c r="H385" s="47"/>
      <c r="I385" s="52" t="s">
        <v>297</v>
      </c>
      <c r="J385" s="45" t="str">
        <f>VLOOKUP(Table13232[[#This Row],[Track]],$C$836:$E$882,2,FALSE)</f>
        <v>Vic</v>
      </c>
      <c r="K385" s="49">
        <v>100</v>
      </c>
      <c r="L385" s="45" t="str">
        <f>IF(Table13232[[#This Row],[Fin]]&lt;&gt;"1st","",Table13232[[#This Row],[Div]]*Table13232[[#This Row],[Lev Bet]])</f>
        <v/>
      </c>
      <c r="M385" s="45">
        <f>IF(Table13232[[#This Row],[Lev Ret]]="",Table13232[[#This Row],[Lev Bet]]*-1,L385-K385)</f>
        <v>-100</v>
      </c>
      <c r="N385" s="135">
        <v>200</v>
      </c>
      <c r="O385" s="135" t="str">
        <f>IF(Table13232[[#This Row],[Fin]]&lt;&gt;"1st","",Table13232[[#This Row],[Div]]*Table13232[[#This Row],[Nat and Combo Bet]])</f>
        <v/>
      </c>
      <c r="P385" s="135">
        <f>IF(Table13232[[#This Row],[Lev Ret]]="",Table13232[[#This Row],[Nat and Combo Bet]]*-1,O385-N385)</f>
        <v>-200</v>
      </c>
      <c r="Q385" s="50">
        <f t="shared" si="15"/>
        <v>1</v>
      </c>
      <c r="R385" s="50">
        <f>IF(AND(Q384=2,Q385=1),"",IF(Q385=2,(N385+N386)/2,IF(Table13232[[#This Row],[Dual Listing]]=1,Table13232[[#This Row],[Nat and Combo Bet]],11)))</f>
        <v>200</v>
      </c>
      <c r="S385" s="50" t="str">
        <f t="shared" si="16"/>
        <v/>
      </c>
      <c r="T385" s="50">
        <f t="shared" si="17"/>
        <v>-200</v>
      </c>
      <c r="U385" s="50" t="str">
        <f>IF(Table13232[[#This Row],[Date]]&lt;$U$4,"","Live")</f>
        <v/>
      </c>
      <c r="V385" s="45" t="str">
        <f>TEXT(Table13232[[#This Row],[Date]],"DDD")</f>
        <v>Sat</v>
      </c>
      <c r="W385" s="45" t="str">
        <f>PROPER(TRIM(Table13232[[#This Row],[Horse]]))</f>
        <v>Bold Soul</v>
      </c>
    </row>
    <row r="386" spans="1:23" x14ac:dyDescent="0.25">
      <c r="A386" s="43">
        <v>45857</v>
      </c>
      <c r="B386" s="44">
        <v>0.67013888888888884</v>
      </c>
      <c r="C386" s="44" t="s">
        <v>11</v>
      </c>
      <c r="D386" s="45">
        <v>9</v>
      </c>
      <c r="E386" s="45">
        <v>10</v>
      </c>
      <c r="F386" s="46" t="s">
        <v>41</v>
      </c>
      <c r="G386" s="46"/>
      <c r="H386" s="47"/>
      <c r="I386" s="52" t="s">
        <v>297</v>
      </c>
      <c r="J386" s="45" t="str">
        <f>VLOOKUP(Table13232[[#This Row],[Track]],$C$836:$E$882,2,FALSE)</f>
        <v>NSW</v>
      </c>
      <c r="K386" s="49">
        <v>100</v>
      </c>
      <c r="L386" s="45" t="str">
        <f>IF(Table13232[[#This Row],[Fin]]&lt;&gt;"1st","",Table13232[[#This Row],[Div]]*Table13232[[#This Row],[Lev Bet]])</f>
        <v/>
      </c>
      <c r="M386" s="45">
        <f>IF(Table13232[[#This Row],[Lev Ret]]="",Table13232[[#This Row],[Lev Bet]]*-1,L386-K386)</f>
        <v>-100</v>
      </c>
      <c r="N386" s="135">
        <v>150</v>
      </c>
      <c r="O386" s="135" t="str">
        <f>IF(Table13232[[#This Row],[Fin]]&lt;&gt;"1st","",Table13232[[#This Row],[Div]]*Table13232[[#This Row],[Nat and Combo Bet]])</f>
        <v/>
      </c>
      <c r="P386" s="135">
        <f>IF(Table13232[[#This Row],[Lev Ret]]="",Table13232[[#This Row],[Nat and Combo Bet]]*-1,O386-N386)</f>
        <v>-150</v>
      </c>
      <c r="Q386" s="50">
        <f t="shared" si="15"/>
        <v>1</v>
      </c>
      <c r="R386" s="50">
        <f>IF(AND(Q385=2,Q386=1),"",IF(Q386=2,(N386+N387)/2,IF(Table13232[[#This Row],[Dual Listing]]=1,Table13232[[#This Row],[Nat and Combo Bet]],11)))</f>
        <v>150</v>
      </c>
      <c r="S386" s="50" t="str">
        <f t="shared" si="16"/>
        <v/>
      </c>
      <c r="T386" s="50">
        <f t="shared" si="17"/>
        <v>-150</v>
      </c>
      <c r="U386" s="50" t="str">
        <f>IF(Table13232[[#This Row],[Date]]&lt;$U$4,"","Live")</f>
        <v/>
      </c>
      <c r="V386" s="45" t="str">
        <f>TEXT(Table13232[[#This Row],[Date]],"DDD")</f>
        <v>Sat</v>
      </c>
      <c r="W386" s="45" t="str">
        <f>PROPER(TRIM(Table13232[[#This Row],[Horse]]))</f>
        <v>Thunderlips</v>
      </c>
    </row>
    <row r="387" spans="1:23" x14ac:dyDescent="0.25">
      <c r="A387" s="43">
        <v>45857</v>
      </c>
      <c r="B387" s="44">
        <v>0.70277777777777772</v>
      </c>
      <c r="C387" s="44" t="s">
        <v>10</v>
      </c>
      <c r="D387" s="45">
        <v>9</v>
      </c>
      <c r="E387" s="45">
        <v>9</v>
      </c>
      <c r="F387" s="46" t="s">
        <v>443</v>
      </c>
      <c r="G387" s="46"/>
      <c r="H387" s="47"/>
      <c r="I387" s="52" t="s">
        <v>297</v>
      </c>
      <c r="J387" s="45" t="str">
        <f>VLOOKUP(Table13232[[#This Row],[Track]],$C$836:$E$882,2,FALSE)</f>
        <v>Vic</v>
      </c>
      <c r="K387" s="49">
        <v>100</v>
      </c>
      <c r="L387" s="45" t="str">
        <f>IF(Table13232[[#This Row],[Fin]]&lt;&gt;"1st","",Table13232[[#This Row],[Div]]*Table13232[[#This Row],[Lev Bet]])</f>
        <v/>
      </c>
      <c r="M387" s="45">
        <f>IF(Table13232[[#This Row],[Lev Ret]]="",Table13232[[#This Row],[Lev Bet]]*-1,L387-K387)</f>
        <v>-100</v>
      </c>
      <c r="N387" s="135">
        <v>50</v>
      </c>
      <c r="O387" s="135" t="str">
        <f>IF(Table13232[[#This Row],[Fin]]&lt;&gt;"1st","",Table13232[[#This Row],[Div]]*Table13232[[#This Row],[Nat and Combo Bet]])</f>
        <v/>
      </c>
      <c r="P387" s="135">
        <f>IF(Table13232[[#This Row],[Lev Ret]]="",Table13232[[#This Row],[Nat and Combo Bet]]*-1,O387-N387)</f>
        <v>-50</v>
      </c>
      <c r="Q387" s="50">
        <f t="shared" si="15"/>
        <v>1</v>
      </c>
      <c r="R387" s="50">
        <f>IF(AND(Q386=2,Q387=1),"",IF(Q387=2,(N387+N388)/2,IF(Table13232[[#This Row],[Dual Listing]]=1,Table13232[[#This Row],[Nat and Combo Bet]],11)))</f>
        <v>50</v>
      </c>
      <c r="S387" s="50" t="str">
        <f t="shared" si="16"/>
        <v/>
      </c>
      <c r="T387" s="50">
        <f t="shared" si="17"/>
        <v>-50</v>
      </c>
      <c r="U387" s="50" t="str">
        <f>IF(Table13232[[#This Row],[Date]]&lt;$U$4,"","Live")</f>
        <v/>
      </c>
      <c r="V387" s="45" t="str">
        <f>TEXT(Table13232[[#This Row],[Date]],"DDD")</f>
        <v>Sat</v>
      </c>
      <c r="W387" s="45" t="str">
        <f>PROPER(TRIM(Table13232[[#This Row],[Horse]]))</f>
        <v>Cheerstothat</v>
      </c>
    </row>
    <row r="388" spans="1:23" x14ac:dyDescent="0.25">
      <c r="A388" s="43">
        <v>45864</v>
      </c>
      <c r="B388" s="44">
        <v>0.49652777777777779</v>
      </c>
      <c r="C388" s="44" t="s">
        <v>13</v>
      </c>
      <c r="D388" s="45">
        <v>2</v>
      </c>
      <c r="E388" s="45">
        <v>16</v>
      </c>
      <c r="F388" s="46" t="s">
        <v>444</v>
      </c>
      <c r="G388" s="46"/>
      <c r="H388" s="47"/>
      <c r="I388" s="52" t="s">
        <v>297</v>
      </c>
      <c r="J388" s="45" t="str">
        <f>VLOOKUP(Table13232[[#This Row],[Track]],$C$836:$E$882,2,FALSE)</f>
        <v>NSW</v>
      </c>
      <c r="K388" s="49">
        <v>100</v>
      </c>
      <c r="L388" s="45" t="str">
        <f>IF(Table13232[[#This Row],[Fin]]&lt;&gt;"1st","",Table13232[[#This Row],[Div]]*Table13232[[#This Row],[Lev Bet]])</f>
        <v/>
      </c>
      <c r="M388" s="45">
        <f>IF(Table13232[[#This Row],[Lev Ret]]="",Table13232[[#This Row],[Lev Bet]]*-1,L388-K388)</f>
        <v>-100</v>
      </c>
      <c r="N388" s="135">
        <v>100</v>
      </c>
      <c r="O388" s="135" t="str">
        <f>IF(Table13232[[#This Row],[Fin]]&lt;&gt;"1st","",Table13232[[#This Row],[Div]]*Table13232[[#This Row],[Nat and Combo Bet]])</f>
        <v/>
      </c>
      <c r="P388" s="135">
        <f>IF(Table13232[[#This Row],[Lev Ret]]="",Table13232[[#This Row],[Nat and Combo Bet]]*-1,O388-N388)</f>
        <v>-100</v>
      </c>
      <c r="Q388" s="50">
        <f t="shared" si="15"/>
        <v>1</v>
      </c>
      <c r="R388" s="50">
        <f>IF(AND(Q387=2,Q388=1),"",IF(Q388=2,(N388+N389)/2,IF(Table13232[[#This Row],[Dual Listing]]=1,Table13232[[#This Row],[Nat and Combo Bet]],11)))</f>
        <v>100</v>
      </c>
      <c r="S388" s="50" t="str">
        <f t="shared" si="16"/>
        <v/>
      </c>
      <c r="T388" s="50">
        <f t="shared" si="17"/>
        <v>-100</v>
      </c>
      <c r="U388" s="50" t="str">
        <f>IF(Table13232[[#This Row],[Date]]&lt;$U$4,"","Live")</f>
        <v/>
      </c>
      <c r="V388" s="45" t="str">
        <f>TEXT(Table13232[[#This Row],[Date]],"DDD")</f>
        <v>Sat</v>
      </c>
      <c r="W388" s="45" t="str">
        <f>PROPER(TRIM(Table13232[[#This Row],[Horse]]))</f>
        <v>Starphistocated</v>
      </c>
    </row>
    <row r="389" spans="1:23" x14ac:dyDescent="0.25">
      <c r="A389" s="43">
        <v>45864</v>
      </c>
      <c r="B389" s="44">
        <v>0.52638888888888891</v>
      </c>
      <c r="C389" s="44" t="s">
        <v>9</v>
      </c>
      <c r="D389" s="45">
        <v>2</v>
      </c>
      <c r="E389" s="45">
        <v>2</v>
      </c>
      <c r="F389" s="46" t="s">
        <v>82</v>
      </c>
      <c r="G389" s="46" t="s">
        <v>23</v>
      </c>
      <c r="H389" s="47"/>
      <c r="I389" s="47" t="s">
        <v>298</v>
      </c>
      <c r="J389" s="45" t="str">
        <f>VLOOKUP(Table13232[[#This Row],[Track]],$C$836:$E$882,2,FALSE)</f>
        <v>Qld</v>
      </c>
      <c r="K389" s="49">
        <v>100</v>
      </c>
      <c r="L389" s="45" t="str">
        <f>IF(Table13232[[#This Row],[Fin]]&lt;&gt;"1st","",Table13232[[#This Row],[Div]]*Table13232[[#This Row],[Lev Bet]])</f>
        <v/>
      </c>
      <c r="M389" s="45">
        <f>IF(Table13232[[#This Row],[Lev Ret]]="",Table13232[[#This Row],[Lev Bet]]*-1,L389-K389)</f>
        <v>-100</v>
      </c>
      <c r="N389" s="135">
        <v>100</v>
      </c>
      <c r="O389" s="135" t="str">
        <f>IF(Table13232[[#This Row],[Fin]]&lt;&gt;"1st","",Table13232[[#This Row],[Div]]*Table13232[[#This Row],[Nat and Combo Bet]])</f>
        <v/>
      </c>
      <c r="P389" s="135">
        <f>IF(Table13232[[#This Row],[Lev Ret]]="",Table13232[[#This Row],[Nat and Combo Bet]]*-1,O389-N389)</f>
        <v>-100</v>
      </c>
      <c r="Q389" s="50">
        <f t="shared" si="15"/>
        <v>1</v>
      </c>
      <c r="R389" s="50">
        <f>IF(AND(Q388=2,Q389=1),"",IF(Q389=2,(N389+N390)/2,IF(Table13232[[#This Row],[Dual Listing]]=1,Table13232[[#This Row],[Nat and Combo Bet]],11)))</f>
        <v>100</v>
      </c>
      <c r="S389" s="50" t="str">
        <f t="shared" si="16"/>
        <v/>
      </c>
      <c r="T389" s="50">
        <f t="shared" si="17"/>
        <v>-100</v>
      </c>
      <c r="U389" s="50" t="str">
        <f>IF(Table13232[[#This Row],[Date]]&lt;$U$4,"","Live")</f>
        <v/>
      </c>
      <c r="V389" s="45" t="str">
        <f>TEXT(Table13232[[#This Row],[Date]],"DDD")</f>
        <v>Sat</v>
      </c>
      <c r="W389" s="45" t="str">
        <f>PROPER(TRIM(Table13232[[#This Row],[Horse]]))</f>
        <v>Weigall Tiger</v>
      </c>
    </row>
    <row r="390" spans="1:23" x14ac:dyDescent="0.25">
      <c r="A390" s="43">
        <v>45864</v>
      </c>
      <c r="B390" s="44">
        <v>0.59375</v>
      </c>
      <c r="C390" s="44" t="s">
        <v>13</v>
      </c>
      <c r="D390" s="45">
        <v>6</v>
      </c>
      <c r="E390" s="45">
        <v>5</v>
      </c>
      <c r="F390" s="46" t="s">
        <v>426</v>
      </c>
      <c r="G390" s="46"/>
      <c r="H390" s="47"/>
      <c r="I390" s="52" t="s">
        <v>297</v>
      </c>
      <c r="J390" s="45" t="str">
        <f>VLOOKUP(Table13232[[#This Row],[Track]],$C$836:$E$882,2,FALSE)</f>
        <v>NSW</v>
      </c>
      <c r="K390" s="49">
        <v>100</v>
      </c>
      <c r="L390" s="45" t="str">
        <f>IF(Table13232[[#This Row],[Fin]]&lt;&gt;"1st","",Table13232[[#This Row],[Div]]*Table13232[[#This Row],[Lev Bet]])</f>
        <v/>
      </c>
      <c r="M390" s="45">
        <f>IF(Table13232[[#This Row],[Lev Ret]]="",Table13232[[#This Row],[Lev Bet]]*-1,L390-K390)</f>
        <v>-100</v>
      </c>
      <c r="N390" s="135">
        <v>150</v>
      </c>
      <c r="O390" s="135" t="str">
        <f>IF(Table13232[[#This Row],[Fin]]&lt;&gt;"1st","",Table13232[[#This Row],[Div]]*Table13232[[#This Row],[Nat and Combo Bet]])</f>
        <v/>
      </c>
      <c r="P390" s="135">
        <f>IF(Table13232[[#This Row],[Lev Ret]]="",Table13232[[#This Row],[Nat and Combo Bet]]*-1,O390-N390)</f>
        <v>-150</v>
      </c>
      <c r="Q390" s="50">
        <f t="shared" si="15"/>
        <v>1</v>
      </c>
      <c r="R390" s="50">
        <f>IF(AND(Q389=2,Q390=1),"",IF(Q390=2,(N390+N391)/2,IF(Table13232[[#This Row],[Dual Listing]]=1,Table13232[[#This Row],[Nat and Combo Bet]],11)))</f>
        <v>150</v>
      </c>
      <c r="S390" s="50" t="str">
        <f t="shared" si="16"/>
        <v/>
      </c>
      <c r="T390" s="50">
        <f t="shared" si="17"/>
        <v>-150</v>
      </c>
      <c r="U390" s="50" t="str">
        <f>IF(Table13232[[#This Row],[Date]]&lt;$U$4,"","Live")</f>
        <v/>
      </c>
      <c r="V390" s="45" t="str">
        <f>TEXT(Table13232[[#This Row],[Date]],"DDD")</f>
        <v>Sat</v>
      </c>
      <c r="W390" s="45" t="str">
        <f>PROPER(TRIM(Table13232[[#This Row],[Horse]]))</f>
        <v>She'S Unusual</v>
      </c>
    </row>
    <row r="391" spans="1:23" x14ac:dyDescent="0.25">
      <c r="A391" s="43">
        <v>45864</v>
      </c>
      <c r="B391" s="44">
        <v>0.63194444444444442</v>
      </c>
      <c r="C391" s="44" t="s">
        <v>34</v>
      </c>
      <c r="D391" s="45">
        <v>6</v>
      </c>
      <c r="E391" s="45">
        <v>6</v>
      </c>
      <c r="F391" s="46" t="s">
        <v>194</v>
      </c>
      <c r="G391" s="46" t="s">
        <v>22</v>
      </c>
      <c r="H391" s="47"/>
      <c r="I391" s="47" t="s">
        <v>298</v>
      </c>
      <c r="J391" s="45" t="str">
        <f>VLOOKUP(Table13232[[#This Row],[Track]],$C$836:$E$882,2,FALSE)</f>
        <v>Vic</v>
      </c>
      <c r="K391" s="49">
        <v>100</v>
      </c>
      <c r="L391" s="45" t="str">
        <f>IF(Table13232[[#This Row],[Fin]]&lt;&gt;"1st","",Table13232[[#This Row],[Div]]*Table13232[[#This Row],[Lev Bet]])</f>
        <v/>
      </c>
      <c r="M391" s="45">
        <f>IF(Table13232[[#This Row],[Lev Ret]]="",Table13232[[#This Row],[Lev Bet]]*-1,L391-K391)</f>
        <v>-100</v>
      </c>
      <c r="N391" s="135">
        <v>100</v>
      </c>
      <c r="O391" s="135" t="str">
        <f>IF(Table13232[[#This Row],[Fin]]&lt;&gt;"1st","",Table13232[[#This Row],[Div]]*Table13232[[#This Row],[Nat and Combo Bet]])</f>
        <v/>
      </c>
      <c r="P391" s="135">
        <f>IF(Table13232[[#This Row],[Lev Ret]]="",Table13232[[#This Row],[Nat and Combo Bet]]*-1,O391-N391)</f>
        <v>-100</v>
      </c>
      <c r="Q391" s="50">
        <f t="shared" ref="Q391:Q454" si="18">IF(AND(A392=A391,F392=F391),2,1)</f>
        <v>1</v>
      </c>
      <c r="R391" s="50">
        <f>IF(AND(Q390=2,Q391=1),"",IF(Q391=2,(N391+N392)/2,IF(Table13232[[#This Row],[Dual Listing]]=1,Table13232[[#This Row],[Nat and Combo Bet]],11)))</f>
        <v>100</v>
      </c>
      <c r="S391" s="50" t="str">
        <f t="shared" ref="S391:S454" si="19">IF(R391="","",IF(O391="","",R391*H391))</f>
        <v/>
      </c>
      <c r="T391" s="50">
        <f t="shared" ref="T391:T454" si="20">IF(R391="","",IF(S391="",R391*-1,S391-R391))</f>
        <v>-100</v>
      </c>
      <c r="U391" s="50" t="str">
        <f>IF(Table13232[[#This Row],[Date]]&lt;$U$4,"","Live")</f>
        <v/>
      </c>
      <c r="V391" s="45" t="str">
        <f>TEXT(Table13232[[#This Row],[Date]],"DDD")</f>
        <v>Sat</v>
      </c>
      <c r="W391" s="45" t="str">
        <f>PROPER(TRIM(Table13232[[#This Row],[Horse]]))</f>
        <v>Shadhavar</v>
      </c>
    </row>
    <row r="392" spans="1:23" x14ac:dyDescent="0.25">
      <c r="A392" s="43">
        <v>45864</v>
      </c>
      <c r="B392" s="44">
        <v>0.65416666666666667</v>
      </c>
      <c r="C392" s="44" t="s">
        <v>9</v>
      </c>
      <c r="D392" s="45">
        <v>7</v>
      </c>
      <c r="E392" s="45">
        <v>7</v>
      </c>
      <c r="F392" s="46" t="s">
        <v>108</v>
      </c>
      <c r="G392" s="46"/>
      <c r="H392" s="47"/>
      <c r="I392" s="47" t="s">
        <v>298</v>
      </c>
      <c r="J392" s="45" t="str">
        <f>VLOOKUP(Table13232[[#This Row],[Track]],$C$836:$E$882,2,FALSE)</f>
        <v>Qld</v>
      </c>
      <c r="K392" s="49">
        <v>100</v>
      </c>
      <c r="L392" s="45" t="str">
        <f>IF(Table13232[[#This Row],[Fin]]&lt;&gt;"1st","",Table13232[[#This Row],[Div]]*Table13232[[#This Row],[Lev Bet]])</f>
        <v/>
      </c>
      <c r="M392" s="45">
        <f>IF(Table13232[[#This Row],[Lev Ret]]="",Table13232[[#This Row],[Lev Bet]]*-1,L392-K392)</f>
        <v>-100</v>
      </c>
      <c r="N392" s="135">
        <v>100</v>
      </c>
      <c r="O392" s="135" t="str">
        <f>IF(Table13232[[#This Row],[Fin]]&lt;&gt;"1st","",Table13232[[#This Row],[Div]]*Table13232[[#This Row],[Nat and Combo Bet]])</f>
        <v/>
      </c>
      <c r="P392" s="135">
        <f>IF(Table13232[[#This Row],[Lev Ret]]="",Table13232[[#This Row],[Nat and Combo Bet]]*-1,O392-N392)</f>
        <v>-100</v>
      </c>
      <c r="Q392" s="50">
        <f t="shared" si="18"/>
        <v>1</v>
      </c>
      <c r="R392" s="50">
        <f>IF(AND(Q391=2,Q392=1),"",IF(Q392=2,(N392+N393)/2,IF(Table13232[[#This Row],[Dual Listing]]=1,Table13232[[#This Row],[Nat and Combo Bet]],11)))</f>
        <v>100</v>
      </c>
      <c r="S392" s="50" t="str">
        <f t="shared" si="19"/>
        <v/>
      </c>
      <c r="T392" s="50">
        <f t="shared" si="20"/>
        <v>-100</v>
      </c>
      <c r="U392" s="50" t="str">
        <f>IF(Table13232[[#This Row],[Date]]&lt;$U$4,"","Live")</f>
        <v/>
      </c>
      <c r="V392" s="45" t="str">
        <f>TEXT(Table13232[[#This Row],[Date]],"DDD")</f>
        <v>Sat</v>
      </c>
      <c r="W392" s="45" t="str">
        <f>PROPER(TRIM(Table13232[[#This Row],[Horse]]))</f>
        <v>Cunnamulla Fella</v>
      </c>
    </row>
    <row r="393" spans="1:23" x14ac:dyDescent="0.25">
      <c r="A393" s="43">
        <v>45864</v>
      </c>
      <c r="B393" s="44">
        <v>0.65972222222222221</v>
      </c>
      <c r="C393" s="44" t="s">
        <v>34</v>
      </c>
      <c r="D393" s="45">
        <v>7</v>
      </c>
      <c r="E393" s="45">
        <v>10</v>
      </c>
      <c r="F393" s="46" t="s">
        <v>395</v>
      </c>
      <c r="G393" s="46"/>
      <c r="H393" s="47"/>
      <c r="I393" s="52" t="s">
        <v>297</v>
      </c>
      <c r="J393" s="45" t="str">
        <f>VLOOKUP(Table13232[[#This Row],[Track]],$C$836:$E$882,2,FALSE)</f>
        <v>Vic</v>
      </c>
      <c r="K393" s="49">
        <v>100</v>
      </c>
      <c r="L393" s="45" t="str">
        <f>IF(Table13232[[#This Row],[Fin]]&lt;&gt;"1st","",Table13232[[#This Row],[Div]]*Table13232[[#This Row],[Lev Bet]])</f>
        <v/>
      </c>
      <c r="M393" s="45">
        <f>IF(Table13232[[#This Row],[Lev Ret]]="",Table13232[[#This Row],[Lev Bet]]*-1,L393-K393)</f>
        <v>-100</v>
      </c>
      <c r="N393" s="135">
        <v>50</v>
      </c>
      <c r="O393" s="135" t="str">
        <f>IF(Table13232[[#This Row],[Fin]]&lt;&gt;"1st","",Table13232[[#This Row],[Div]]*Table13232[[#This Row],[Nat and Combo Bet]])</f>
        <v/>
      </c>
      <c r="P393" s="135">
        <f>IF(Table13232[[#This Row],[Lev Ret]]="",Table13232[[#This Row],[Nat and Combo Bet]]*-1,O393-N393)</f>
        <v>-50</v>
      </c>
      <c r="Q393" s="50">
        <f t="shared" si="18"/>
        <v>1</v>
      </c>
      <c r="R393" s="50">
        <f>IF(AND(Q392=2,Q393=1),"",IF(Q393=2,(N393+N394)/2,IF(Table13232[[#This Row],[Dual Listing]]=1,Table13232[[#This Row],[Nat and Combo Bet]],11)))</f>
        <v>50</v>
      </c>
      <c r="S393" s="50" t="str">
        <f t="shared" si="19"/>
        <v/>
      </c>
      <c r="T393" s="50">
        <f t="shared" si="20"/>
        <v>-50</v>
      </c>
      <c r="U393" s="50" t="str">
        <f>IF(Table13232[[#This Row],[Date]]&lt;$U$4,"","Live")</f>
        <v/>
      </c>
      <c r="V393" s="45" t="str">
        <f>TEXT(Table13232[[#This Row],[Date]],"DDD")</f>
        <v>Sat</v>
      </c>
      <c r="W393" s="45" t="str">
        <f>PROPER(TRIM(Table13232[[#This Row],[Horse]]))</f>
        <v>Regal Vow</v>
      </c>
    </row>
    <row r="394" spans="1:23" x14ac:dyDescent="0.25">
      <c r="A394" s="43">
        <v>45864</v>
      </c>
      <c r="B394" s="44">
        <v>0.6791666666666667</v>
      </c>
      <c r="C394" s="44" t="s">
        <v>9</v>
      </c>
      <c r="D394" s="45">
        <v>8</v>
      </c>
      <c r="E394" s="45">
        <v>1</v>
      </c>
      <c r="F394" s="46" t="s">
        <v>47</v>
      </c>
      <c r="G394" s="46" t="s">
        <v>501</v>
      </c>
      <c r="H394" s="47">
        <v>1</v>
      </c>
      <c r="I394" s="47" t="s">
        <v>298</v>
      </c>
      <c r="J394" s="45" t="str">
        <f>VLOOKUP(Table13232[[#This Row],[Track]],$C$836:$E$882,2,FALSE)</f>
        <v>Qld</v>
      </c>
      <c r="K394" s="49">
        <v>100</v>
      </c>
      <c r="L394" s="45" t="str">
        <f>IF(Table13232[[#This Row],[Fin]]&lt;&gt;"1st","",Table13232[[#This Row],[Div]]*Table13232[[#This Row],[Lev Bet]])</f>
        <v/>
      </c>
      <c r="M394" s="45">
        <f>IF(Table13232[[#This Row],[Lev Ret]]="",Table13232[[#This Row],[Lev Bet]]*-1,L394-K394)</f>
        <v>-100</v>
      </c>
      <c r="N394" s="135">
        <v>100</v>
      </c>
      <c r="O394" s="135" t="str">
        <f>IF(Table13232[[#This Row],[Fin]]&lt;&gt;"1st","",Table13232[[#This Row],[Div]]*Table13232[[#This Row],[Nat and Combo Bet]])</f>
        <v/>
      </c>
      <c r="P394" s="135">
        <f>IF(Table13232[[#This Row],[Lev Ret]]="",Table13232[[#This Row],[Nat and Combo Bet]]*-1,O394-N394)</f>
        <v>-100</v>
      </c>
      <c r="Q394" s="50">
        <f t="shared" si="18"/>
        <v>1</v>
      </c>
      <c r="R394" s="50">
        <f>IF(AND(Q393=2,Q394=1),"",IF(Q394=2,(N394+N395)/2,IF(Table13232[[#This Row],[Dual Listing]]=1,Table13232[[#This Row],[Nat and Combo Bet]],11)))</f>
        <v>100</v>
      </c>
      <c r="S394" s="50" t="str">
        <f t="shared" si="19"/>
        <v/>
      </c>
      <c r="T394" s="50">
        <f t="shared" si="20"/>
        <v>-100</v>
      </c>
      <c r="U394" s="50" t="str">
        <f>IF(Table13232[[#This Row],[Date]]&lt;$U$4,"","Live")</f>
        <v/>
      </c>
      <c r="V394" s="45" t="str">
        <f>TEXT(Table13232[[#This Row],[Date]],"DDD")</f>
        <v>Sat</v>
      </c>
      <c r="W394" s="45" t="str">
        <f>PROPER(TRIM(Table13232[[#This Row],[Horse]]))</f>
        <v>Metalart</v>
      </c>
    </row>
    <row r="395" spans="1:23" x14ac:dyDescent="0.25">
      <c r="A395" s="43">
        <v>45864</v>
      </c>
      <c r="B395" s="44">
        <v>0.69791666666666663</v>
      </c>
      <c r="C395" s="44" t="s">
        <v>13</v>
      </c>
      <c r="D395" s="45">
        <v>10</v>
      </c>
      <c r="E395" s="45">
        <v>6</v>
      </c>
      <c r="F395" s="46" t="s">
        <v>445</v>
      </c>
      <c r="G395" s="46"/>
      <c r="H395" s="47"/>
      <c r="I395" s="52" t="s">
        <v>297</v>
      </c>
      <c r="J395" s="45" t="str">
        <f>VLOOKUP(Table13232[[#This Row],[Track]],$C$836:$E$882,2,FALSE)</f>
        <v>NSW</v>
      </c>
      <c r="K395" s="49">
        <v>100</v>
      </c>
      <c r="L395" s="45" t="str">
        <f>IF(Table13232[[#This Row],[Fin]]&lt;&gt;"1st","",Table13232[[#This Row],[Div]]*Table13232[[#This Row],[Lev Bet]])</f>
        <v/>
      </c>
      <c r="M395" s="45">
        <f>IF(Table13232[[#This Row],[Lev Ret]]="",Table13232[[#This Row],[Lev Bet]]*-1,L395-K395)</f>
        <v>-100</v>
      </c>
      <c r="N395" s="135">
        <v>150</v>
      </c>
      <c r="O395" s="135" t="str">
        <f>IF(Table13232[[#This Row],[Fin]]&lt;&gt;"1st","",Table13232[[#This Row],[Div]]*Table13232[[#This Row],[Nat and Combo Bet]])</f>
        <v/>
      </c>
      <c r="P395" s="135">
        <f>IF(Table13232[[#This Row],[Lev Ret]]="",Table13232[[#This Row],[Nat and Combo Bet]]*-1,O395-N395)</f>
        <v>-150</v>
      </c>
      <c r="Q395" s="50">
        <f t="shared" si="18"/>
        <v>1</v>
      </c>
      <c r="R395" s="50">
        <f>IF(AND(Q394=2,Q395=1),"",IF(Q395=2,(N395+N396)/2,IF(Table13232[[#This Row],[Dual Listing]]=1,Table13232[[#This Row],[Nat and Combo Bet]],11)))</f>
        <v>150</v>
      </c>
      <c r="S395" s="50" t="str">
        <f t="shared" si="19"/>
        <v/>
      </c>
      <c r="T395" s="50">
        <f t="shared" si="20"/>
        <v>-150</v>
      </c>
      <c r="U395" s="50" t="str">
        <f>IF(Table13232[[#This Row],[Date]]&lt;$U$4,"","Live")</f>
        <v/>
      </c>
      <c r="V395" s="45" t="str">
        <f>TEXT(Table13232[[#This Row],[Date]],"DDD")</f>
        <v>Sat</v>
      </c>
      <c r="W395" s="45" t="str">
        <f>PROPER(TRIM(Table13232[[#This Row],[Horse]]))</f>
        <v>Puntin</v>
      </c>
    </row>
    <row r="396" spans="1:23" x14ac:dyDescent="0.25">
      <c r="A396" s="43">
        <v>45864</v>
      </c>
      <c r="B396" s="44">
        <v>0.70486111111111116</v>
      </c>
      <c r="C396" s="44" t="s">
        <v>34</v>
      </c>
      <c r="D396" s="45">
        <v>9</v>
      </c>
      <c r="E396" s="45">
        <v>6</v>
      </c>
      <c r="F396" s="46" t="s">
        <v>204</v>
      </c>
      <c r="G396" s="46"/>
      <c r="H396" s="47"/>
      <c r="I396" s="47" t="s">
        <v>298</v>
      </c>
      <c r="J396" s="45" t="str">
        <f>VLOOKUP(Table13232[[#This Row],[Track]],$C$836:$E$882,2,FALSE)</f>
        <v>Vic</v>
      </c>
      <c r="K396" s="49">
        <v>100</v>
      </c>
      <c r="L396" s="45" t="str">
        <f>IF(Table13232[[#This Row],[Fin]]&lt;&gt;"1st","",Table13232[[#This Row],[Div]]*Table13232[[#This Row],[Lev Bet]])</f>
        <v/>
      </c>
      <c r="M396" s="45">
        <f>IF(Table13232[[#This Row],[Lev Ret]]="",Table13232[[#This Row],[Lev Bet]]*-1,L396-K396)</f>
        <v>-100</v>
      </c>
      <c r="N396" s="135">
        <v>100</v>
      </c>
      <c r="O396" s="135" t="str">
        <f>IF(Table13232[[#This Row],[Fin]]&lt;&gt;"1st","",Table13232[[#This Row],[Div]]*Table13232[[#This Row],[Nat and Combo Bet]])</f>
        <v/>
      </c>
      <c r="P396" s="135">
        <f>IF(Table13232[[#This Row],[Lev Ret]]="",Table13232[[#This Row],[Nat and Combo Bet]]*-1,O396-N396)</f>
        <v>-100</v>
      </c>
      <c r="Q396" s="50">
        <f t="shared" si="18"/>
        <v>1</v>
      </c>
      <c r="R396" s="50">
        <f>IF(AND(Q395=2,Q396=1),"",IF(Q396=2,(N396+N397)/2,IF(Table13232[[#This Row],[Dual Listing]]=1,Table13232[[#This Row],[Nat and Combo Bet]],11)))</f>
        <v>100</v>
      </c>
      <c r="S396" s="50" t="str">
        <f t="shared" si="19"/>
        <v/>
      </c>
      <c r="T396" s="50">
        <f t="shared" si="20"/>
        <v>-100</v>
      </c>
      <c r="U396" s="50" t="str">
        <f>IF(Table13232[[#This Row],[Date]]&lt;$U$4,"","Live")</f>
        <v/>
      </c>
      <c r="V396" s="45" t="str">
        <f>TEXT(Table13232[[#This Row],[Date]],"DDD")</f>
        <v>Sat</v>
      </c>
      <c r="W396" s="45" t="str">
        <f>PROPER(TRIM(Table13232[[#This Row],[Horse]]))</f>
        <v>Keep Your Cool</v>
      </c>
    </row>
    <row r="397" spans="1:23" x14ac:dyDescent="0.25">
      <c r="A397" s="43">
        <v>45871</v>
      </c>
      <c r="B397" s="44">
        <v>0.5</v>
      </c>
      <c r="C397" s="44" t="s">
        <v>11</v>
      </c>
      <c r="D397" s="45">
        <v>2</v>
      </c>
      <c r="E397" s="45">
        <v>5</v>
      </c>
      <c r="F397" s="46" t="s">
        <v>446</v>
      </c>
      <c r="G397" s="46" t="s">
        <v>21</v>
      </c>
      <c r="H397" s="47">
        <v>4.8</v>
      </c>
      <c r="I397" s="52" t="s">
        <v>297</v>
      </c>
      <c r="J397" s="45" t="str">
        <f>VLOOKUP(Table13232[[#This Row],[Track]],$C$836:$E$882,2,FALSE)</f>
        <v>NSW</v>
      </c>
      <c r="K397" s="49">
        <v>100</v>
      </c>
      <c r="L397" s="45">
        <f>IF(Table13232[[#This Row],[Fin]]&lt;&gt;"1st","",Table13232[[#This Row],[Div]]*Table13232[[#This Row],[Lev Bet]])</f>
        <v>480</v>
      </c>
      <c r="M397" s="45">
        <f>IF(Table13232[[#This Row],[Lev Ret]]="",Table13232[[#This Row],[Lev Bet]]*-1,L397-K397)</f>
        <v>380</v>
      </c>
      <c r="N397" s="135">
        <v>150</v>
      </c>
      <c r="O397" s="135">
        <f>IF(Table13232[[#This Row],[Fin]]&lt;&gt;"1st","",Table13232[[#This Row],[Div]]*Table13232[[#This Row],[Nat and Combo Bet]])</f>
        <v>720</v>
      </c>
      <c r="P397" s="135">
        <f>IF(Table13232[[#This Row],[Lev Ret]]="",Table13232[[#This Row],[Nat and Combo Bet]]*-1,O397-N397)</f>
        <v>570</v>
      </c>
      <c r="Q397" s="50">
        <f t="shared" si="18"/>
        <v>1</v>
      </c>
      <c r="R397" s="50">
        <f>IF(AND(Q396=2,Q397=1),"",IF(Q397=2,(N397+N398)/2,IF(Table13232[[#This Row],[Dual Listing]]=1,Table13232[[#This Row],[Nat and Combo Bet]],11)))</f>
        <v>150</v>
      </c>
      <c r="S397" s="50">
        <f t="shared" si="19"/>
        <v>720</v>
      </c>
      <c r="T397" s="50">
        <f t="shared" si="20"/>
        <v>570</v>
      </c>
      <c r="U397" s="50" t="str">
        <f>IF(Table13232[[#This Row],[Date]]&lt;$U$4,"","Live")</f>
        <v/>
      </c>
      <c r="V397" s="45" t="str">
        <f>TEXT(Table13232[[#This Row],[Date]],"DDD")</f>
        <v>Sat</v>
      </c>
      <c r="W397" s="45" t="str">
        <f>PROPER(TRIM(Table13232[[#This Row],[Horse]]))</f>
        <v>Cold Brew</v>
      </c>
    </row>
    <row r="398" spans="1:23" x14ac:dyDescent="0.25">
      <c r="A398" s="43">
        <v>45871</v>
      </c>
      <c r="B398" s="44">
        <v>0.50555555555555554</v>
      </c>
      <c r="C398" s="44" t="s">
        <v>12</v>
      </c>
      <c r="D398" s="45">
        <v>1</v>
      </c>
      <c r="E398" s="45">
        <v>3</v>
      </c>
      <c r="F398" s="46" t="s">
        <v>205</v>
      </c>
      <c r="G398" s="46" t="s">
        <v>22</v>
      </c>
      <c r="H398" s="47"/>
      <c r="I398" s="47" t="s">
        <v>298</v>
      </c>
      <c r="J398" s="45" t="str">
        <f>VLOOKUP(Table13232[[#This Row],[Track]],$C$836:$E$882,2,FALSE)</f>
        <v>Qld</v>
      </c>
      <c r="K398" s="49">
        <v>100</v>
      </c>
      <c r="L398" s="45" t="str">
        <f>IF(Table13232[[#This Row],[Fin]]&lt;&gt;"1st","",Table13232[[#This Row],[Div]]*Table13232[[#This Row],[Lev Bet]])</f>
        <v/>
      </c>
      <c r="M398" s="45">
        <f>IF(Table13232[[#This Row],[Lev Ret]]="",Table13232[[#This Row],[Lev Bet]]*-1,L398-K398)</f>
        <v>-100</v>
      </c>
      <c r="N398" s="135">
        <v>100</v>
      </c>
      <c r="O398" s="135" t="str">
        <f>IF(Table13232[[#This Row],[Fin]]&lt;&gt;"1st","",Table13232[[#This Row],[Div]]*Table13232[[#This Row],[Nat and Combo Bet]])</f>
        <v/>
      </c>
      <c r="P398" s="135">
        <f>IF(Table13232[[#This Row],[Lev Ret]]="",Table13232[[#This Row],[Nat and Combo Bet]]*-1,O398-N398)</f>
        <v>-100</v>
      </c>
      <c r="Q398" s="50">
        <f t="shared" si="18"/>
        <v>1</v>
      </c>
      <c r="R398" s="50">
        <f>IF(AND(Q397=2,Q398=1),"",IF(Q398=2,(N398+N399)/2,IF(Table13232[[#This Row],[Dual Listing]]=1,Table13232[[#This Row],[Nat and Combo Bet]],11)))</f>
        <v>100</v>
      </c>
      <c r="S398" s="50" t="str">
        <f t="shared" si="19"/>
        <v/>
      </c>
      <c r="T398" s="50">
        <f t="shared" si="20"/>
        <v>-100</v>
      </c>
      <c r="U398" s="50" t="str">
        <f>IF(Table13232[[#This Row],[Date]]&lt;$U$4,"","Live")</f>
        <v/>
      </c>
      <c r="V398" s="45" t="str">
        <f>TEXT(Table13232[[#This Row],[Date]],"DDD")</f>
        <v>Sat</v>
      </c>
      <c r="W398" s="45" t="str">
        <f>PROPER(TRIM(Table13232[[#This Row],[Horse]]))</f>
        <v>Just Flying</v>
      </c>
    </row>
    <row r="399" spans="1:23" x14ac:dyDescent="0.25">
      <c r="A399" s="43">
        <v>45871</v>
      </c>
      <c r="B399" s="44">
        <v>0.52986111111111112</v>
      </c>
      <c r="C399" s="44" t="s">
        <v>12</v>
      </c>
      <c r="D399" s="45">
        <v>2</v>
      </c>
      <c r="E399" s="45">
        <v>10</v>
      </c>
      <c r="F399" s="46" t="s">
        <v>206</v>
      </c>
      <c r="G399" s="46" t="s">
        <v>23</v>
      </c>
      <c r="H399" s="47"/>
      <c r="I399" s="47" t="s">
        <v>298</v>
      </c>
      <c r="J399" s="45" t="str">
        <f>VLOOKUP(Table13232[[#This Row],[Track]],$C$836:$E$882,2,FALSE)</f>
        <v>Qld</v>
      </c>
      <c r="K399" s="49">
        <v>100</v>
      </c>
      <c r="L399" s="45" t="str">
        <f>IF(Table13232[[#This Row],[Fin]]&lt;&gt;"1st","",Table13232[[#This Row],[Div]]*Table13232[[#This Row],[Lev Bet]])</f>
        <v/>
      </c>
      <c r="M399" s="45">
        <f>IF(Table13232[[#This Row],[Lev Ret]]="",Table13232[[#This Row],[Lev Bet]]*-1,L399-K399)</f>
        <v>-100</v>
      </c>
      <c r="N399" s="135">
        <v>100</v>
      </c>
      <c r="O399" s="135" t="str">
        <f>IF(Table13232[[#This Row],[Fin]]&lt;&gt;"1st","",Table13232[[#This Row],[Div]]*Table13232[[#This Row],[Nat and Combo Bet]])</f>
        <v/>
      </c>
      <c r="P399" s="135">
        <f>IF(Table13232[[#This Row],[Lev Ret]]="",Table13232[[#This Row],[Nat and Combo Bet]]*-1,O399-N399)</f>
        <v>-100</v>
      </c>
      <c r="Q399" s="50">
        <f t="shared" si="18"/>
        <v>1</v>
      </c>
      <c r="R399" s="50">
        <f>IF(AND(Q398=2,Q399=1),"",IF(Q399=2,(N399+N400)/2,IF(Table13232[[#This Row],[Dual Listing]]=1,Table13232[[#This Row],[Nat and Combo Bet]],11)))</f>
        <v>100</v>
      </c>
      <c r="S399" s="50" t="str">
        <f t="shared" si="19"/>
        <v/>
      </c>
      <c r="T399" s="50">
        <f t="shared" si="20"/>
        <v>-100</v>
      </c>
      <c r="U399" s="50" t="str">
        <f>IF(Table13232[[#This Row],[Date]]&lt;$U$4,"","Live")</f>
        <v/>
      </c>
      <c r="V399" s="45" t="str">
        <f>TEXT(Table13232[[#This Row],[Date]],"DDD")</f>
        <v>Sat</v>
      </c>
      <c r="W399" s="45" t="str">
        <f>PROPER(TRIM(Table13232[[#This Row],[Horse]]))</f>
        <v>Sicilian</v>
      </c>
    </row>
    <row r="400" spans="1:23" x14ac:dyDescent="0.25">
      <c r="A400" s="43">
        <v>45871</v>
      </c>
      <c r="B400" s="44">
        <v>0.53472222222222221</v>
      </c>
      <c r="C400" s="44" t="s">
        <v>10</v>
      </c>
      <c r="D400" s="45">
        <v>2</v>
      </c>
      <c r="E400" s="45">
        <v>6</v>
      </c>
      <c r="F400" s="46" t="s">
        <v>207</v>
      </c>
      <c r="G400" s="46" t="s">
        <v>21</v>
      </c>
      <c r="H400" s="47">
        <v>3</v>
      </c>
      <c r="I400" s="52" t="s">
        <v>297</v>
      </c>
      <c r="J400" s="45" t="str">
        <f>VLOOKUP(Table13232[[#This Row],[Track]],$C$836:$E$882,2,FALSE)</f>
        <v>Vic</v>
      </c>
      <c r="K400" s="49">
        <v>100</v>
      </c>
      <c r="L400" s="45">
        <f>IF(Table13232[[#This Row],[Fin]]&lt;&gt;"1st","",Table13232[[#This Row],[Div]]*Table13232[[#This Row],[Lev Bet]])</f>
        <v>300</v>
      </c>
      <c r="M400" s="45">
        <f>IF(Table13232[[#This Row],[Lev Ret]]="",Table13232[[#This Row],[Lev Bet]]*-1,L400-K400)</f>
        <v>200</v>
      </c>
      <c r="N400" s="135">
        <v>200</v>
      </c>
      <c r="O400" s="135">
        <f>IF(Table13232[[#This Row],[Fin]]&lt;&gt;"1st","",Table13232[[#This Row],[Div]]*Table13232[[#This Row],[Nat and Combo Bet]])</f>
        <v>600</v>
      </c>
      <c r="P400" s="135">
        <f>IF(Table13232[[#This Row],[Lev Ret]]="",Table13232[[#This Row],[Nat and Combo Bet]]*-1,O400-N400)</f>
        <v>400</v>
      </c>
      <c r="Q400" s="50">
        <f t="shared" si="18"/>
        <v>1</v>
      </c>
      <c r="R400" s="50">
        <f>IF(AND(Q399=2,Q400=1),"",IF(Q400=2,(N400+N401)/2,IF(Table13232[[#This Row],[Dual Listing]]=1,Table13232[[#This Row],[Nat and Combo Bet]],11)))</f>
        <v>200</v>
      </c>
      <c r="S400" s="50">
        <f t="shared" si="19"/>
        <v>600</v>
      </c>
      <c r="T400" s="50">
        <f t="shared" si="20"/>
        <v>400</v>
      </c>
      <c r="U400" s="50" t="str">
        <f>IF(Table13232[[#This Row],[Date]]&lt;$U$4,"","Live")</f>
        <v/>
      </c>
      <c r="V400" s="45" t="str">
        <f>TEXT(Table13232[[#This Row],[Date]],"DDD")</f>
        <v>Sat</v>
      </c>
      <c r="W400" s="45" t="str">
        <f>PROPER(TRIM(Table13232[[#This Row],[Horse]]))</f>
        <v>Bold Soul</v>
      </c>
    </row>
    <row r="401" spans="1:23" x14ac:dyDescent="0.25">
      <c r="A401" s="43">
        <v>45871</v>
      </c>
      <c r="B401" s="44">
        <v>0.54861111111111116</v>
      </c>
      <c r="C401" s="44" t="s">
        <v>11</v>
      </c>
      <c r="D401" s="45">
        <v>4</v>
      </c>
      <c r="E401" s="45">
        <v>13</v>
      </c>
      <c r="F401" s="46" t="s">
        <v>253</v>
      </c>
      <c r="G401" s="46" t="s">
        <v>21</v>
      </c>
      <c r="H401" s="47">
        <v>6</v>
      </c>
      <c r="I401" s="52" t="s">
        <v>297</v>
      </c>
      <c r="J401" s="45" t="str">
        <f>VLOOKUP(Table13232[[#This Row],[Track]],$C$836:$E$882,2,FALSE)</f>
        <v>NSW</v>
      </c>
      <c r="K401" s="49">
        <v>100</v>
      </c>
      <c r="L401" s="45">
        <f>IF(Table13232[[#This Row],[Fin]]&lt;&gt;"1st","",Table13232[[#This Row],[Div]]*Table13232[[#This Row],[Lev Bet]])</f>
        <v>600</v>
      </c>
      <c r="M401" s="45">
        <f>IF(Table13232[[#This Row],[Lev Ret]]="",Table13232[[#This Row],[Lev Bet]]*-1,L401-K401)</f>
        <v>500</v>
      </c>
      <c r="N401" s="135">
        <v>100</v>
      </c>
      <c r="O401" s="135">
        <f>IF(Table13232[[#This Row],[Fin]]&lt;&gt;"1st","",Table13232[[#This Row],[Div]]*Table13232[[#This Row],[Nat and Combo Bet]])</f>
        <v>600</v>
      </c>
      <c r="P401" s="135">
        <f>IF(Table13232[[#This Row],[Lev Ret]]="",Table13232[[#This Row],[Nat and Combo Bet]]*-1,O401-N401)</f>
        <v>500</v>
      </c>
      <c r="Q401" s="50">
        <f t="shared" si="18"/>
        <v>1</v>
      </c>
      <c r="R401" s="50">
        <f>IF(AND(Q400=2,Q401=1),"",IF(Q401=2,(N401+N402)/2,IF(Table13232[[#This Row],[Dual Listing]]=1,Table13232[[#This Row],[Nat and Combo Bet]],11)))</f>
        <v>100</v>
      </c>
      <c r="S401" s="50">
        <f t="shared" si="19"/>
        <v>600</v>
      </c>
      <c r="T401" s="50">
        <f t="shared" si="20"/>
        <v>500</v>
      </c>
      <c r="U401" s="50" t="str">
        <f>IF(Table13232[[#This Row],[Date]]&lt;$U$4,"","Live")</f>
        <v/>
      </c>
      <c r="V401" s="45" t="str">
        <f>TEXT(Table13232[[#This Row],[Date]],"DDD")</f>
        <v>Sat</v>
      </c>
      <c r="W401" s="45" t="str">
        <f>PROPER(TRIM(Table13232[[#This Row],[Horse]]))</f>
        <v>Sunshine Law</v>
      </c>
    </row>
    <row r="402" spans="1:23" x14ac:dyDescent="0.25">
      <c r="A402" s="109">
        <v>45871</v>
      </c>
      <c r="B402" s="53">
        <v>0.58333333333333337</v>
      </c>
      <c r="C402" s="110" t="s">
        <v>10</v>
      </c>
      <c r="D402" s="111">
        <v>4</v>
      </c>
      <c r="E402" s="111">
        <v>9</v>
      </c>
      <c r="F402" s="112" t="s">
        <v>208</v>
      </c>
      <c r="G402" s="112"/>
      <c r="H402" s="113"/>
      <c r="I402" s="114" t="s">
        <v>297</v>
      </c>
      <c r="J402" s="45" t="str">
        <f>VLOOKUP(Table13232[[#This Row],[Track]],$C$836:$E$882,2,FALSE)</f>
        <v>Vic</v>
      </c>
      <c r="K402" s="55">
        <v>100</v>
      </c>
      <c r="L402" s="54" t="str">
        <f>IF(Table13232[[#This Row],[Fin]]&lt;&gt;"1st","",Table13232[[#This Row],[Div]]*Table13232[[#This Row],[Lev Bet]])</f>
        <v/>
      </c>
      <c r="M402" s="54">
        <f>IF(Table13232[[#This Row],[Lev Ret]]="",Table13232[[#This Row],[Lev Bet]]*-1,L402-K402)</f>
        <v>-100</v>
      </c>
      <c r="N402" s="135">
        <v>100</v>
      </c>
      <c r="O402" s="135" t="str">
        <f>IF(Table13232[[#This Row],[Fin]]&lt;&gt;"1st","",Table13232[[#This Row],[Div]]*Table13232[[#This Row],[Nat and Combo Bet]])</f>
        <v/>
      </c>
      <c r="P402" s="135">
        <f>IF(Table13232[[#This Row],[Lev Ret]]="",Table13232[[#This Row],[Nat and Combo Bet]]*-1,O402-N402)</f>
        <v>-100</v>
      </c>
      <c r="Q402" s="50">
        <f t="shared" si="18"/>
        <v>2</v>
      </c>
      <c r="R402" s="50">
        <f>IF(AND(Q401=2,Q402=1),"",IF(Q402=2,(N402+N403)/2,IF(Table13232[[#This Row],[Dual Listing]]=1,Table13232[[#This Row],[Nat and Combo Bet]],11)))</f>
        <v>100</v>
      </c>
      <c r="S402" s="50" t="str">
        <f t="shared" si="19"/>
        <v/>
      </c>
      <c r="T402" s="50">
        <f t="shared" si="20"/>
        <v>-100</v>
      </c>
      <c r="U402" s="50" t="str">
        <f>IF(Table13232[[#This Row],[Date]]&lt;$U$4,"","Live")</f>
        <v/>
      </c>
      <c r="V402" s="45" t="str">
        <f>TEXT(Table13232[[#This Row],[Date]],"DDD")</f>
        <v>Sat</v>
      </c>
      <c r="W402" s="45" t="str">
        <f>PROPER(TRIM(Table13232[[#This Row],[Horse]]))</f>
        <v>Documentary</v>
      </c>
    </row>
    <row r="403" spans="1:23" x14ac:dyDescent="0.25">
      <c r="A403" s="109">
        <v>45871</v>
      </c>
      <c r="B403" s="53">
        <v>0.58333333333333337</v>
      </c>
      <c r="C403" s="110" t="s">
        <v>10</v>
      </c>
      <c r="D403" s="111">
        <v>4</v>
      </c>
      <c r="E403" s="111">
        <v>9</v>
      </c>
      <c r="F403" s="112" t="s">
        <v>208</v>
      </c>
      <c r="G403" s="112"/>
      <c r="H403" s="113"/>
      <c r="I403" s="113" t="s">
        <v>298</v>
      </c>
      <c r="J403" s="45" t="str">
        <f>VLOOKUP(Table13232[[#This Row],[Track]],$C$836:$E$882,2,FALSE)</f>
        <v>Vic</v>
      </c>
      <c r="K403" s="55">
        <v>100</v>
      </c>
      <c r="L403" s="54" t="str">
        <f>IF(Table13232[[#This Row],[Fin]]&lt;&gt;"1st","",Table13232[[#This Row],[Div]]*Table13232[[#This Row],[Lev Bet]])</f>
        <v/>
      </c>
      <c r="M403" s="54">
        <f>IF(Table13232[[#This Row],[Lev Ret]]="",Table13232[[#This Row],[Lev Bet]]*-1,L403-K403)</f>
        <v>-100</v>
      </c>
      <c r="N403" s="135">
        <v>100</v>
      </c>
      <c r="O403" s="135" t="str">
        <f>IF(Table13232[[#This Row],[Fin]]&lt;&gt;"1st","",Table13232[[#This Row],[Div]]*Table13232[[#This Row],[Nat and Combo Bet]])</f>
        <v/>
      </c>
      <c r="P403" s="135">
        <f>IF(Table13232[[#This Row],[Lev Ret]]="",Table13232[[#This Row],[Nat and Combo Bet]]*-1,O403-N403)</f>
        <v>-100</v>
      </c>
      <c r="Q403" s="50">
        <f t="shared" si="18"/>
        <v>1</v>
      </c>
      <c r="R403" s="50" t="str">
        <f>IF(AND(Q402=2,Q403=1),"",IF(Q403=2,(N403+N404)/2,IF(Table13232[[#This Row],[Dual Listing]]=1,Table13232[[#This Row],[Nat and Combo Bet]],11)))</f>
        <v/>
      </c>
      <c r="S403" s="50" t="str">
        <f t="shared" si="19"/>
        <v/>
      </c>
      <c r="T403" s="50" t="str">
        <f t="shared" si="20"/>
        <v/>
      </c>
      <c r="U403" s="50" t="str">
        <f>IF(Table13232[[#This Row],[Date]]&lt;$U$4,"","Live")</f>
        <v/>
      </c>
      <c r="V403" s="45" t="str">
        <f>TEXT(Table13232[[#This Row],[Date]],"DDD")</f>
        <v>Sat</v>
      </c>
      <c r="W403" s="45" t="str">
        <f>PROPER(TRIM(Table13232[[#This Row],[Horse]]))</f>
        <v>Documentary</v>
      </c>
    </row>
    <row r="404" spans="1:23" x14ac:dyDescent="0.25">
      <c r="A404" s="43">
        <v>45871</v>
      </c>
      <c r="B404" s="44">
        <v>0.60277777777777775</v>
      </c>
      <c r="C404" s="44" t="s">
        <v>12</v>
      </c>
      <c r="D404" s="45">
        <v>5</v>
      </c>
      <c r="E404" s="45">
        <v>1</v>
      </c>
      <c r="F404" s="46" t="s">
        <v>209</v>
      </c>
      <c r="G404" s="46" t="s">
        <v>21</v>
      </c>
      <c r="H404" s="47">
        <v>1.7</v>
      </c>
      <c r="I404" s="47" t="s">
        <v>298</v>
      </c>
      <c r="J404" s="45" t="str">
        <f>VLOOKUP(Table13232[[#This Row],[Track]],$C$836:$E$882,2,FALSE)</f>
        <v>Qld</v>
      </c>
      <c r="K404" s="49">
        <v>100</v>
      </c>
      <c r="L404" s="45">
        <f>IF(Table13232[[#This Row],[Fin]]&lt;&gt;"1st","",Table13232[[#This Row],[Div]]*Table13232[[#This Row],[Lev Bet]])</f>
        <v>170</v>
      </c>
      <c r="M404" s="45">
        <f>IF(Table13232[[#This Row],[Lev Ret]]="",Table13232[[#This Row],[Lev Bet]]*-1,L404-K404)</f>
        <v>70</v>
      </c>
      <c r="N404" s="135">
        <v>100</v>
      </c>
      <c r="O404" s="135">
        <f>IF(Table13232[[#This Row],[Fin]]&lt;&gt;"1st","",Table13232[[#This Row],[Div]]*Table13232[[#This Row],[Nat and Combo Bet]])</f>
        <v>170</v>
      </c>
      <c r="P404" s="135">
        <f>IF(Table13232[[#This Row],[Lev Ret]]="",Table13232[[#This Row],[Nat and Combo Bet]]*-1,O404-N404)</f>
        <v>70</v>
      </c>
      <c r="Q404" s="50">
        <f t="shared" si="18"/>
        <v>1</v>
      </c>
      <c r="R404" s="50">
        <f>IF(AND(Q403=2,Q404=1),"",IF(Q404=2,(N404+N405)/2,IF(Table13232[[#This Row],[Dual Listing]]=1,Table13232[[#This Row],[Nat and Combo Bet]],11)))</f>
        <v>100</v>
      </c>
      <c r="S404" s="50">
        <f t="shared" si="19"/>
        <v>170</v>
      </c>
      <c r="T404" s="50">
        <f t="shared" si="20"/>
        <v>70</v>
      </c>
      <c r="U404" s="50" t="str">
        <f>IF(Table13232[[#This Row],[Date]]&lt;$U$4,"","Live")</f>
        <v/>
      </c>
      <c r="V404" s="45" t="str">
        <f>TEXT(Table13232[[#This Row],[Date]],"DDD")</f>
        <v>Sat</v>
      </c>
      <c r="W404" s="45" t="str">
        <f>PROPER(TRIM(Table13232[[#This Row],[Horse]]))</f>
        <v>Tuff Tu Mus</v>
      </c>
    </row>
    <row r="405" spans="1:23" x14ac:dyDescent="0.25">
      <c r="A405" s="43">
        <v>45871</v>
      </c>
      <c r="B405" s="44">
        <v>0.60763888888888884</v>
      </c>
      <c r="C405" s="44" t="s">
        <v>10</v>
      </c>
      <c r="D405" s="45">
        <v>5</v>
      </c>
      <c r="E405" s="45">
        <v>1</v>
      </c>
      <c r="F405" s="46" t="s">
        <v>447</v>
      </c>
      <c r="G405" s="46"/>
      <c r="H405" s="47"/>
      <c r="I405" s="52" t="s">
        <v>297</v>
      </c>
      <c r="J405" s="45" t="str">
        <f>VLOOKUP(Table13232[[#This Row],[Track]],$C$836:$E$882,2,FALSE)</f>
        <v>Vic</v>
      </c>
      <c r="K405" s="49">
        <v>100</v>
      </c>
      <c r="L405" s="45" t="str">
        <f>IF(Table13232[[#This Row],[Fin]]&lt;&gt;"1st","",Table13232[[#This Row],[Div]]*Table13232[[#This Row],[Lev Bet]])</f>
        <v/>
      </c>
      <c r="M405" s="45">
        <f>IF(Table13232[[#This Row],[Lev Ret]]="",Table13232[[#This Row],[Lev Bet]]*-1,L405-K405)</f>
        <v>-100</v>
      </c>
      <c r="N405" s="135">
        <v>150</v>
      </c>
      <c r="O405" s="135" t="str">
        <f>IF(Table13232[[#This Row],[Fin]]&lt;&gt;"1st","",Table13232[[#This Row],[Div]]*Table13232[[#This Row],[Nat and Combo Bet]])</f>
        <v/>
      </c>
      <c r="P405" s="135">
        <f>IF(Table13232[[#This Row],[Lev Ret]]="",Table13232[[#This Row],[Nat and Combo Bet]]*-1,O405-N405)</f>
        <v>-150</v>
      </c>
      <c r="Q405" s="50">
        <f t="shared" si="18"/>
        <v>1</v>
      </c>
      <c r="R405" s="50">
        <f>IF(AND(Q404=2,Q405=1),"",IF(Q405=2,(N405+N406)/2,IF(Table13232[[#This Row],[Dual Listing]]=1,Table13232[[#This Row],[Nat and Combo Bet]],11)))</f>
        <v>150</v>
      </c>
      <c r="S405" s="50" t="str">
        <f t="shared" si="19"/>
        <v/>
      </c>
      <c r="T405" s="50">
        <f t="shared" si="20"/>
        <v>-150</v>
      </c>
      <c r="U405" s="50" t="str">
        <f>IF(Table13232[[#This Row],[Date]]&lt;$U$4,"","Live")</f>
        <v/>
      </c>
      <c r="V405" s="45" t="str">
        <f>TEXT(Table13232[[#This Row],[Date]],"DDD")</f>
        <v>Sat</v>
      </c>
      <c r="W405" s="45" t="str">
        <f>PROPER(TRIM(Table13232[[#This Row],[Horse]]))</f>
        <v>Aztec State</v>
      </c>
    </row>
    <row r="406" spans="1:23" x14ac:dyDescent="0.25">
      <c r="A406" s="43">
        <v>45871</v>
      </c>
      <c r="B406" s="44">
        <v>0.60763888888888884</v>
      </c>
      <c r="C406" s="44" t="s">
        <v>10</v>
      </c>
      <c r="D406" s="45">
        <v>5</v>
      </c>
      <c r="E406" s="45">
        <v>14</v>
      </c>
      <c r="F406" s="46" t="s">
        <v>196</v>
      </c>
      <c r="G406" s="46" t="s">
        <v>23</v>
      </c>
      <c r="H406" s="47"/>
      <c r="I406" s="47" t="s">
        <v>298</v>
      </c>
      <c r="J406" s="45" t="str">
        <f>VLOOKUP(Table13232[[#This Row],[Track]],$C$836:$E$882,2,FALSE)</f>
        <v>Vic</v>
      </c>
      <c r="K406" s="49">
        <v>100</v>
      </c>
      <c r="L406" s="45" t="str">
        <f>IF(Table13232[[#This Row],[Fin]]&lt;&gt;"1st","",Table13232[[#This Row],[Div]]*Table13232[[#This Row],[Lev Bet]])</f>
        <v/>
      </c>
      <c r="M406" s="45">
        <f>IF(Table13232[[#This Row],[Lev Ret]]="",Table13232[[#This Row],[Lev Bet]]*-1,L406-K406)</f>
        <v>-100</v>
      </c>
      <c r="N406" s="135">
        <v>100</v>
      </c>
      <c r="O406" s="135" t="str">
        <f>IF(Table13232[[#This Row],[Fin]]&lt;&gt;"1st","",Table13232[[#This Row],[Div]]*Table13232[[#This Row],[Nat and Combo Bet]])</f>
        <v/>
      </c>
      <c r="P406" s="135">
        <f>IF(Table13232[[#This Row],[Lev Ret]]="",Table13232[[#This Row],[Nat and Combo Bet]]*-1,O406-N406)</f>
        <v>-100</v>
      </c>
      <c r="Q406" s="50">
        <f t="shared" si="18"/>
        <v>1</v>
      </c>
      <c r="R406" s="50">
        <f>IF(AND(Q405=2,Q406=1),"",IF(Q406=2,(N406+N407)/2,IF(Table13232[[#This Row],[Dual Listing]]=1,Table13232[[#This Row],[Nat and Combo Bet]],11)))</f>
        <v>100</v>
      </c>
      <c r="S406" s="50" t="str">
        <f t="shared" si="19"/>
        <v/>
      </c>
      <c r="T406" s="50">
        <f t="shared" si="20"/>
        <v>-100</v>
      </c>
      <c r="U406" s="50" t="str">
        <f>IF(Table13232[[#This Row],[Date]]&lt;$U$4,"","Live")</f>
        <v/>
      </c>
      <c r="V406" s="45" t="str">
        <f>TEXT(Table13232[[#This Row],[Date]],"DDD")</f>
        <v>Sat</v>
      </c>
      <c r="W406" s="45" t="str">
        <f>PROPER(TRIM(Table13232[[#This Row],[Horse]]))</f>
        <v>Federer</v>
      </c>
    </row>
    <row r="407" spans="1:23" x14ac:dyDescent="0.25">
      <c r="A407" s="109">
        <v>45871</v>
      </c>
      <c r="B407" s="53">
        <v>0.63194444444444442</v>
      </c>
      <c r="C407" s="110" t="s">
        <v>10</v>
      </c>
      <c r="D407" s="111">
        <v>6</v>
      </c>
      <c r="E407" s="111">
        <v>8</v>
      </c>
      <c r="F407" s="112" t="s">
        <v>79</v>
      </c>
      <c r="G407" s="112" t="s">
        <v>21</v>
      </c>
      <c r="H407" s="113">
        <v>2.6</v>
      </c>
      <c r="I407" s="114" t="s">
        <v>297</v>
      </c>
      <c r="J407" s="45" t="str">
        <f>VLOOKUP(Table13232[[#This Row],[Track]],$C$836:$E$882,2,FALSE)</f>
        <v>Vic</v>
      </c>
      <c r="K407" s="55">
        <v>100</v>
      </c>
      <c r="L407" s="54">
        <f>IF(Table13232[[#This Row],[Fin]]&lt;&gt;"1st","",Table13232[[#This Row],[Div]]*Table13232[[#This Row],[Lev Bet]])</f>
        <v>260</v>
      </c>
      <c r="M407" s="54">
        <f>IF(Table13232[[#This Row],[Lev Ret]]="",Table13232[[#This Row],[Lev Bet]]*-1,L407-K407)</f>
        <v>160</v>
      </c>
      <c r="N407" s="135">
        <v>200</v>
      </c>
      <c r="O407" s="135">
        <f>IF(Table13232[[#This Row],[Fin]]&lt;&gt;"1st","",Table13232[[#This Row],[Div]]*Table13232[[#This Row],[Nat and Combo Bet]])</f>
        <v>520</v>
      </c>
      <c r="P407" s="135">
        <f>IF(Table13232[[#This Row],[Lev Ret]]="",Table13232[[#This Row],[Nat and Combo Bet]]*-1,O407-N407)</f>
        <v>320</v>
      </c>
      <c r="Q407" s="50">
        <f t="shared" si="18"/>
        <v>2</v>
      </c>
      <c r="R407" s="50">
        <f>IF(AND(Q406=2,Q407=1),"",IF(Q407=2,(N407+N408)/2,IF(Table13232[[#This Row],[Dual Listing]]=1,Table13232[[#This Row],[Nat and Combo Bet]],11)))</f>
        <v>200</v>
      </c>
      <c r="S407" s="50">
        <f t="shared" si="19"/>
        <v>520</v>
      </c>
      <c r="T407" s="50">
        <f t="shared" si="20"/>
        <v>320</v>
      </c>
      <c r="U407" s="50" t="str">
        <f>IF(Table13232[[#This Row],[Date]]&lt;$U$4,"","Live")</f>
        <v/>
      </c>
      <c r="V407" s="45" t="str">
        <f>TEXT(Table13232[[#This Row],[Date]],"DDD")</f>
        <v>Sat</v>
      </c>
      <c r="W407" s="45" t="str">
        <f>PROPER(TRIM(Table13232[[#This Row],[Horse]]))</f>
        <v>Zou Sensation</v>
      </c>
    </row>
    <row r="408" spans="1:23" x14ac:dyDescent="0.25">
      <c r="A408" s="109">
        <v>45871</v>
      </c>
      <c r="B408" s="53">
        <v>0.63194444444444442</v>
      </c>
      <c r="C408" s="110" t="s">
        <v>10</v>
      </c>
      <c r="D408" s="111">
        <v>6</v>
      </c>
      <c r="E408" s="111">
        <v>8</v>
      </c>
      <c r="F408" s="112" t="s">
        <v>79</v>
      </c>
      <c r="G408" s="112" t="s">
        <v>21</v>
      </c>
      <c r="H408" s="113">
        <v>2.6</v>
      </c>
      <c r="I408" s="113" t="s">
        <v>298</v>
      </c>
      <c r="J408" s="45" t="str">
        <f>VLOOKUP(Table13232[[#This Row],[Track]],$C$836:$E$882,2,FALSE)</f>
        <v>Vic</v>
      </c>
      <c r="K408" s="55">
        <v>100</v>
      </c>
      <c r="L408" s="54">
        <f>IF(Table13232[[#This Row],[Fin]]&lt;&gt;"1st","",Table13232[[#This Row],[Div]]*Table13232[[#This Row],[Lev Bet]])</f>
        <v>260</v>
      </c>
      <c r="M408" s="54">
        <f>IF(Table13232[[#This Row],[Lev Ret]]="",Table13232[[#This Row],[Lev Bet]]*-1,L408-K408)</f>
        <v>160</v>
      </c>
      <c r="N408" s="135">
        <v>200</v>
      </c>
      <c r="O408" s="135">
        <f>IF(Table13232[[#This Row],[Fin]]&lt;&gt;"1st","",Table13232[[#This Row],[Div]]*Table13232[[#This Row],[Nat and Combo Bet]])</f>
        <v>520</v>
      </c>
      <c r="P408" s="135">
        <f>IF(Table13232[[#This Row],[Lev Ret]]="",Table13232[[#This Row],[Nat and Combo Bet]]*-1,O408-N408)</f>
        <v>320</v>
      </c>
      <c r="Q408" s="50">
        <f t="shared" si="18"/>
        <v>1</v>
      </c>
      <c r="R408" s="50" t="str">
        <f>IF(AND(Q407=2,Q408=1),"",IF(Q408=2,(N408+N409)/2,IF(Table13232[[#This Row],[Dual Listing]]=1,Table13232[[#This Row],[Nat and Combo Bet]],11)))</f>
        <v/>
      </c>
      <c r="S408" s="50" t="str">
        <f t="shared" si="19"/>
        <v/>
      </c>
      <c r="T408" s="50" t="str">
        <f t="shared" si="20"/>
        <v/>
      </c>
      <c r="U408" s="50" t="str">
        <f>IF(Table13232[[#This Row],[Date]]&lt;$U$4,"","Live")</f>
        <v/>
      </c>
      <c r="V408" s="45" t="str">
        <f>TEXT(Table13232[[#This Row],[Date]],"DDD")</f>
        <v>Sat</v>
      </c>
      <c r="W408" s="45" t="str">
        <f>PROPER(TRIM(Table13232[[#This Row],[Horse]]))</f>
        <v>Zou Sensation</v>
      </c>
    </row>
    <row r="409" spans="1:23" x14ac:dyDescent="0.25">
      <c r="A409" s="43">
        <v>45871</v>
      </c>
      <c r="B409" s="44">
        <v>0.64930555555555558</v>
      </c>
      <c r="C409" s="44" t="s">
        <v>11</v>
      </c>
      <c r="D409" s="45">
        <v>8</v>
      </c>
      <c r="E409" s="45">
        <v>12</v>
      </c>
      <c r="F409" s="46" t="s">
        <v>448</v>
      </c>
      <c r="G409" s="46"/>
      <c r="H409" s="47"/>
      <c r="I409" s="52" t="s">
        <v>297</v>
      </c>
      <c r="J409" s="45" t="str">
        <f>VLOOKUP(Table13232[[#This Row],[Track]],$C$836:$E$882,2,FALSE)</f>
        <v>NSW</v>
      </c>
      <c r="K409" s="49">
        <v>100</v>
      </c>
      <c r="L409" s="45" t="str">
        <f>IF(Table13232[[#This Row],[Fin]]&lt;&gt;"1st","",Table13232[[#This Row],[Div]]*Table13232[[#This Row],[Lev Bet]])</f>
        <v/>
      </c>
      <c r="M409" s="45">
        <f>IF(Table13232[[#This Row],[Lev Ret]]="",Table13232[[#This Row],[Lev Bet]]*-1,L409-K409)</f>
        <v>-100</v>
      </c>
      <c r="N409" s="135">
        <v>150</v>
      </c>
      <c r="O409" s="135" t="str">
        <f>IF(Table13232[[#This Row],[Fin]]&lt;&gt;"1st","",Table13232[[#This Row],[Div]]*Table13232[[#This Row],[Nat and Combo Bet]])</f>
        <v/>
      </c>
      <c r="P409" s="135">
        <f>IF(Table13232[[#This Row],[Lev Ret]]="",Table13232[[#This Row],[Nat and Combo Bet]]*-1,O409-N409)</f>
        <v>-150</v>
      </c>
      <c r="Q409" s="50">
        <f t="shared" si="18"/>
        <v>1</v>
      </c>
      <c r="R409" s="50">
        <f>IF(AND(Q408=2,Q409=1),"",IF(Q409=2,(N409+N410)/2,IF(Table13232[[#This Row],[Dual Listing]]=1,Table13232[[#This Row],[Nat and Combo Bet]],11)))</f>
        <v>150</v>
      </c>
      <c r="S409" s="50" t="str">
        <f t="shared" si="19"/>
        <v/>
      </c>
      <c r="T409" s="50">
        <f t="shared" si="20"/>
        <v>-150</v>
      </c>
      <c r="U409" s="50" t="str">
        <f>IF(Table13232[[#This Row],[Date]]&lt;$U$4,"","Live")</f>
        <v/>
      </c>
      <c r="V409" s="45" t="str">
        <f>TEXT(Table13232[[#This Row],[Date]],"DDD")</f>
        <v>Sat</v>
      </c>
      <c r="W409" s="45" t="str">
        <f>PROPER(TRIM(Table13232[[#This Row],[Horse]]))</f>
        <v>Just In Time</v>
      </c>
    </row>
    <row r="410" spans="1:23" x14ac:dyDescent="0.25">
      <c r="A410" s="43">
        <v>45871</v>
      </c>
      <c r="B410" s="44">
        <v>0.65486111111111112</v>
      </c>
      <c r="C410" s="44" t="s">
        <v>12</v>
      </c>
      <c r="D410" s="45">
        <v>7</v>
      </c>
      <c r="E410" s="45">
        <v>7</v>
      </c>
      <c r="F410" s="46" t="s">
        <v>210</v>
      </c>
      <c r="G410" s="46"/>
      <c r="H410" s="47"/>
      <c r="I410" s="47" t="s">
        <v>298</v>
      </c>
      <c r="J410" s="45" t="str">
        <f>VLOOKUP(Table13232[[#This Row],[Track]],$C$836:$E$882,2,FALSE)</f>
        <v>Qld</v>
      </c>
      <c r="K410" s="49">
        <v>100</v>
      </c>
      <c r="L410" s="45" t="str">
        <f>IF(Table13232[[#This Row],[Fin]]&lt;&gt;"1st","",Table13232[[#This Row],[Div]]*Table13232[[#This Row],[Lev Bet]])</f>
        <v/>
      </c>
      <c r="M410" s="45">
        <f>IF(Table13232[[#This Row],[Lev Ret]]="",Table13232[[#This Row],[Lev Bet]]*-1,L410-K410)</f>
        <v>-100</v>
      </c>
      <c r="N410" s="135">
        <v>100</v>
      </c>
      <c r="O410" s="135" t="str">
        <f>IF(Table13232[[#This Row],[Fin]]&lt;&gt;"1st","",Table13232[[#This Row],[Div]]*Table13232[[#This Row],[Nat and Combo Bet]])</f>
        <v/>
      </c>
      <c r="P410" s="135">
        <f>IF(Table13232[[#This Row],[Lev Ret]]="",Table13232[[#This Row],[Nat and Combo Bet]]*-1,O410-N410)</f>
        <v>-100</v>
      </c>
      <c r="Q410" s="50">
        <f t="shared" si="18"/>
        <v>1</v>
      </c>
      <c r="R410" s="50">
        <f>IF(AND(Q409=2,Q410=1),"",IF(Q410=2,(N410+N411)/2,IF(Table13232[[#This Row],[Dual Listing]]=1,Table13232[[#This Row],[Nat and Combo Bet]],11)))</f>
        <v>100</v>
      </c>
      <c r="S410" s="50" t="str">
        <f t="shared" si="19"/>
        <v/>
      </c>
      <c r="T410" s="50">
        <f t="shared" si="20"/>
        <v>-100</v>
      </c>
      <c r="U410" s="50" t="str">
        <f>IF(Table13232[[#This Row],[Date]]&lt;$U$4,"","Live")</f>
        <v/>
      </c>
      <c r="V410" s="45" t="str">
        <f>TEXT(Table13232[[#This Row],[Date]],"DDD")</f>
        <v>Sat</v>
      </c>
      <c r="W410" s="45" t="str">
        <f>PROPER(TRIM(Table13232[[#This Row],[Horse]]))</f>
        <v>Cho Oyu</v>
      </c>
    </row>
    <row r="411" spans="1:23" x14ac:dyDescent="0.25">
      <c r="A411" s="43">
        <v>45871</v>
      </c>
      <c r="B411" s="44">
        <v>0.65972222222222221</v>
      </c>
      <c r="C411" s="44" t="s">
        <v>10</v>
      </c>
      <c r="D411" s="45">
        <v>7</v>
      </c>
      <c r="E411" s="45">
        <v>11</v>
      </c>
      <c r="F411" s="46" t="s">
        <v>181</v>
      </c>
      <c r="G411" s="46"/>
      <c r="H411" s="47"/>
      <c r="I411" s="52" t="s">
        <v>297</v>
      </c>
      <c r="J411" s="45" t="str">
        <f>VLOOKUP(Table13232[[#This Row],[Track]],$C$836:$E$882,2,FALSE)</f>
        <v>Vic</v>
      </c>
      <c r="K411" s="49">
        <v>100</v>
      </c>
      <c r="L411" s="45" t="str">
        <f>IF(Table13232[[#This Row],[Fin]]&lt;&gt;"1st","",Table13232[[#This Row],[Div]]*Table13232[[#This Row],[Lev Bet]])</f>
        <v/>
      </c>
      <c r="M411" s="45">
        <f>IF(Table13232[[#This Row],[Lev Ret]]="",Table13232[[#This Row],[Lev Bet]]*-1,L411-K411)</f>
        <v>-100</v>
      </c>
      <c r="N411" s="135">
        <v>100</v>
      </c>
      <c r="O411" s="135" t="str">
        <f>IF(Table13232[[#This Row],[Fin]]&lt;&gt;"1st","",Table13232[[#This Row],[Div]]*Table13232[[#This Row],[Nat and Combo Bet]])</f>
        <v/>
      </c>
      <c r="P411" s="135">
        <f>IF(Table13232[[#This Row],[Lev Ret]]="",Table13232[[#This Row],[Nat and Combo Bet]]*-1,O411-N411)</f>
        <v>-100</v>
      </c>
      <c r="Q411" s="50">
        <f t="shared" si="18"/>
        <v>1</v>
      </c>
      <c r="R411" s="50">
        <f>IF(AND(Q410=2,Q411=1),"",IF(Q411=2,(N411+N412)/2,IF(Table13232[[#This Row],[Dual Listing]]=1,Table13232[[#This Row],[Nat and Combo Bet]],11)))</f>
        <v>100</v>
      </c>
      <c r="S411" s="50" t="str">
        <f t="shared" si="19"/>
        <v/>
      </c>
      <c r="T411" s="50">
        <f t="shared" si="20"/>
        <v>-100</v>
      </c>
      <c r="U411" s="50" t="str">
        <f>IF(Table13232[[#This Row],[Date]]&lt;$U$4,"","Live")</f>
        <v/>
      </c>
      <c r="V411" s="45" t="str">
        <f>TEXT(Table13232[[#This Row],[Date]],"DDD")</f>
        <v>Sat</v>
      </c>
      <c r="W411" s="45" t="str">
        <f>PROPER(TRIM(Table13232[[#This Row],[Horse]]))</f>
        <v>Splash Back</v>
      </c>
    </row>
    <row r="412" spans="1:23" x14ac:dyDescent="0.25">
      <c r="A412" s="43">
        <v>45871</v>
      </c>
      <c r="B412" s="44">
        <v>0.6791666666666667</v>
      </c>
      <c r="C412" s="44" t="s">
        <v>12</v>
      </c>
      <c r="D412" s="45">
        <v>8</v>
      </c>
      <c r="E412" s="45">
        <v>2</v>
      </c>
      <c r="F412" s="46" t="s">
        <v>47</v>
      </c>
      <c r="G412" s="46"/>
      <c r="H412" s="47"/>
      <c r="I412" s="47" t="s">
        <v>298</v>
      </c>
      <c r="J412" s="45" t="str">
        <f>VLOOKUP(Table13232[[#This Row],[Track]],$C$836:$E$882,2,FALSE)</f>
        <v>Qld</v>
      </c>
      <c r="K412" s="49">
        <v>100</v>
      </c>
      <c r="L412" s="45" t="str">
        <f>IF(Table13232[[#This Row],[Fin]]&lt;&gt;"1st","",Table13232[[#This Row],[Div]]*Table13232[[#This Row],[Lev Bet]])</f>
        <v/>
      </c>
      <c r="M412" s="45">
        <f>IF(Table13232[[#This Row],[Lev Ret]]="",Table13232[[#This Row],[Lev Bet]]*-1,L412-K412)</f>
        <v>-100</v>
      </c>
      <c r="N412" s="135">
        <v>100</v>
      </c>
      <c r="O412" s="135" t="str">
        <f>IF(Table13232[[#This Row],[Fin]]&lt;&gt;"1st","",Table13232[[#This Row],[Div]]*Table13232[[#This Row],[Nat and Combo Bet]])</f>
        <v/>
      </c>
      <c r="P412" s="135">
        <f>IF(Table13232[[#This Row],[Lev Ret]]="",Table13232[[#This Row],[Nat and Combo Bet]]*-1,O412-N412)</f>
        <v>-100</v>
      </c>
      <c r="Q412" s="50">
        <f t="shared" si="18"/>
        <v>1</v>
      </c>
      <c r="R412" s="50">
        <f>IF(AND(Q411=2,Q412=1),"",IF(Q412=2,(N412+N413)/2,IF(Table13232[[#This Row],[Dual Listing]]=1,Table13232[[#This Row],[Nat and Combo Bet]],11)))</f>
        <v>100</v>
      </c>
      <c r="S412" s="50" t="str">
        <f t="shared" si="19"/>
        <v/>
      </c>
      <c r="T412" s="50">
        <f t="shared" si="20"/>
        <v>-100</v>
      </c>
      <c r="U412" s="50" t="str">
        <f>IF(Table13232[[#This Row],[Date]]&lt;$U$4,"","Live")</f>
        <v/>
      </c>
      <c r="V412" s="45" t="str">
        <f>TEXT(Table13232[[#This Row],[Date]],"DDD")</f>
        <v>Sat</v>
      </c>
      <c r="W412" s="45" t="str">
        <f>PROPER(TRIM(Table13232[[#This Row],[Horse]]))</f>
        <v>Metalart</v>
      </c>
    </row>
    <row r="413" spans="1:23" x14ac:dyDescent="0.25">
      <c r="A413" s="109">
        <v>45871</v>
      </c>
      <c r="B413" s="53">
        <v>0.68402777777777779</v>
      </c>
      <c r="C413" s="110" t="s">
        <v>10</v>
      </c>
      <c r="D413" s="111">
        <v>8</v>
      </c>
      <c r="E413" s="111">
        <v>11</v>
      </c>
      <c r="F413" s="112" t="s">
        <v>211</v>
      </c>
      <c r="G413" s="112"/>
      <c r="H413" s="113"/>
      <c r="I413" s="114" t="s">
        <v>297</v>
      </c>
      <c r="J413" s="45" t="str">
        <f>VLOOKUP(Table13232[[#This Row],[Track]],$C$836:$E$882,2,FALSE)</f>
        <v>Vic</v>
      </c>
      <c r="K413" s="55">
        <v>100</v>
      </c>
      <c r="L413" s="54" t="str">
        <f>IF(Table13232[[#This Row],[Fin]]&lt;&gt;"1st","",Table13232[[#This Row],[Div]]*Table13232[[#This Row],[Lev Bet]])</f>
        <v/>
      </c>
      <c r="M413" s="54">
        <f>IF(Table13232[[#This Row],[Lev Ret]]="",Table13232[[#This Row],[Lev Bet]]*-1,L413-K413)</f>
        <v>-100</v>
      </c>
      <c r="N413" s="135">
        <v>100</v>
      </c>
      <c r="O413" s="135" t="str">
        <f>IF(Table13232[[#This Row],[Fin]]&lt;&gt;"1st","",Table13232[[#This Row],[Div]]*Table13232[[#This Row],[Nat and Combo Bet]])</f>
        <v/>
      </c>
      <c r="P413" s="135">
        <f>IF(Table13232[[#This Row],[Lev Ret]]="",Table13232[[#This Row],[Nat and Combo Bet]]*-1,O413-N413)</f>
        <v>-100</v>
      </c>
      <c r="Q413" s="50">
        <f t="shared" si="18"/>
        <v>2</v>
      </c>
      <c r="R413" s="50">
        <f>IF(AND(Q412=2,Q413=1),"",IF(Q413=2,(N413+N414)/2,IF(Table13232[[#This Row],[Dual Listing]]=1,Table13232[[#This Row],[Nat and Combo Bet]],11)))</f>
        <v>100</v>
      </c>
      <c r="S413" s="50" t="str">
        <f t="shared" si="19"/>
        <v/>
      </c>
      <c r="T413" s="50">
        <f t="shared" si="20"/>
        <v>-100</v>
      </c>
      <c r="U413" s="50" t="str">
        <f>IF(Table13232[[#This Row],[Date]]&lt;$U$4,"","Live")</f>
        <v/>
      </c>
      <c r="V413" s="45" t="str">
        <f>TEXT(Table13232[[#This Row],[Date]],"DDD")</f>
        <v>Sat</v>
      </c>
      <c r="W413" s="45" t="str">
        <f>PROPER(TRIM(Table13232[[#This Row],[Horse]]))</f>
        <v>One Long Day</v>
      </c>
    </row>
    <row r="414" spans="1:23" x14ac:dyDescent="0.25">
      <c r="A414" s="109">
        <v>45871</v>
      </c>
      <c r="B414" s="53">
        <v>0.68402777777777779</v>
      </c>
      <c r="C414" s="110" t="s">
        <v>10</v>
      </c>
      <c r="D414" s="111">
        <v>8</v>
      </c>
      <c r="E414" s="111">
        <v>11</v>
      </c>
      <c r="F414" s="112" t="s">
        <v>211</v>
      </c>
      <c r="G414" s="112"/>
      <c r="H414" s="113"/>
      <c r="I414" s="113" t="s">
        <v>298</v>
      </c>
      <c r="J414" s="45" t="str">
        <f>VLOOKUP(Table13232[[#This Row],[Track]],$C$836:$E$882,2,FALSE)</f>
        <v>Vic</v>
      </c>
      <c r="K414" s="55">
        <v>100</v>
      </c>
      <c r="L414" s="54" t="str">
        <f>IF(Table13232[[#This Row],[Fin]]&lt;&gt;"1st","",Table13232[[#This Row],[Div]]*Table13232[[#This Row],[Lev Bet]])</f>
        <v/>
      </c>
      <c r="M414" s="54">
        <f>IF(Table13232[[#This Row],[Lev Ret]]="",Table13232[[#This Row],[Lev Bet]]*-1,L414-K414)</f>
        <v>-100</v>
      </c>
      <c r="N414" s="135">
        <v>100</v>
      </c>
      <c r="O414" s="135" t="str">
        <f>IF(Table13232[[#This Row],[Fin]]&lt;&gt;"1st","",Table13232[[#This Row],[Div]]*Table13232[[#This Row],[Nat and Combo Bet]])</f>
        <v/>
      </c>
      <c r="P414" s="135">
        <f>IF(Table13232[[#This Row],[Lev Ret]]="",Table13232[[#This Row],[Nat and Combo Bet]]*-1,O414-N414)</f>
        <v>-100</v>
      </c>
      <c r="Q414" s="50">
        <f t="shared" si="18"/>
        <v>1</v>
      </c>
      <c r="R414" s="50" t="str">
        <f>IF(AND(Q413=2,Q414=1),"",IF(Q414=2,(N414+N415)/2,IF(Table13232[[#This Row],[Dual Listing]]=1,Table13232[[#This Row],[Nat and Combo Bet]],11)))</f>
        <v/>
      </c>
      <c r="S414" s="50" t="str">
        <f t="shared" si="19"/>
        <v/>
      </c>
      <c r="T414" s="50" t="str">
        <f t="shared" si="20"/>
        <v/>
      </c>
      <c r="U414" s="50" t="str">
        <f>IF(Table13232[[#This Row],[Date]]&lt;$U$4,"","Live")</f>
        <v/>
      </c>
      <c r="V414" s="45" t="str">
        <f>TEXT(Table13232[[#This Row],[Date]],"DDD")</f>
        <v>Sat</v>
      </c>
      <c r="W414" s="45" t="str">
        <f>PROPER(TRIM(Table13232[[#This Row],[Horse]]))</f>
        <v>One Long Day</v>
      </c>
    </row>
    <row r="415" spans="1:23" x14ac:dyDescent="0.25">
      <c r="A415" s="43">
        <v>45871</v>
      </c>
      <c r="B415" s="44">
        <v>0.69791666666666663</v>
      </c>
      <c r="C415" s="44" t="s">
        <v>11</v>
      </c>
      <c r="D415" s="45">
        <v>10</v>
      </c>
      <c r="E415" s="45">
        <v>4</v>
      </c>
      <c r="F415" s="46" t="s">
        <v>449</v>
      </c>
      <c r="G415" s="46"/>
      <c r="H415" s="47"/>
      <c r="I415" s="52" t="s">
        <v>297</v>
      </c>
      <c r="J415" s="45" t="str">
        <f>VLOOKUP(Table13232[[#This Row],[Track]],$C$836:$E$882,2,FALSE)</f>
        <v>NSW</v>
      </c>
      <c r="K415" s="49">
        <v>100</v>
      </c>
      <c r="L415" s="45" t="str">
        <f>IF(Table13232[[#This Row],[Fin]]&lt;&gt;"1st","",Table13232[[#This Row],[Div]]*Table13232[[#This Row],[Lev Bet]])</f>
        <v/>
      </c>
      <c r="M415" s="45">
        <f>IF(Table13232[[#This Row],[Lev Ret]]="",Table13232[[#This Row],[Lev Bet]]*-1,L415-K415)</f>
        <v>-100</v>
      </c>
      <c r="N415" s="135">
        <v>100</v>
      </c>
      <c r="O415" s="135" t="str">
        <f>IF(Table13232[[#This Row],[Fin]]&lt;&gt;"1st","",Table13232[[#This Row],[Div]]*Table13232[[#This Row],[Nat and Combo Bet]])</f>
        <v/>
      </c>
      <c r="P415" s="135">
        <f>IF(Table13232[[#This Row],[Lev Ret]]="",Table13232[[#This Row],[Nat and Combo Bet]]*-1,O415-N415)</f>
        <v>-100</v>
      </c>
      <c r="Q415" s="50">
        <f t="shared" si="18"/>
        <v>1</v>
      </c>
      <c r="R415" s="50">
        <f>IF(AND(Q414=2,Q415=1),"",IF(Q415=2,(N415+N416)/2,IF(Table13232[[#This Row],[Dual Listing]]=1,Table13232[[#This Row],[Nat and Combo Bet]],11)))</f>
        <v>100</v>
      </c>
      <c r="S415" s="50" t="str">
        <f t="shared" si="19"/>
        <v/>
      </c>
      <c r="T415" s="50">
        <f t="shared" si="20"/>
        <v>-100</v>
      </c>
      <c r="U415" s="50" t="str">
        <f>IF(Table13232[[#This Row],[Date]]&lt;$U$4,"","Live")</f>
        <v/>
      </c>
      <c r="V415" s="45" t="str">
        <f>TEXT(Table13232[[#This Row],[Date]],"DDD")</f>
        <v>Sat</v>
      </c>
      <c r="W415" s="45" t="str">
        <f>PROPER(TRIM(Table13232[[#This Row],[Horse]]))</f>
        <v>Balkans</v>
      </c>
    </row>
    <row r="416" spans="1:23" x14ac:dyDescent="0.25">
      <c r="A416" s="43">
        <v>45871</v>
      </c>
      <c r="B416" s="44">
        <v>0.70138888888888884</v>
      </c>
      <c r="C416" s="44" t="s">
        <v>12</v>
      </c>
      <c r="D416" s="45">
        <v>9</v>
      </c>
      <c r="E416" s="45">
        <v>16</v>
      </c>
      <c r="F416" s="46" t="s">
        <v>212</v>
      </c>
      <c r="G416" s="46" t="s">
        <v>22</v>
      </c>
      <c r="H416" s="47"/>
      <c r="I416" s="47" t="s">
        <v>298</v>
      </c>
      <c r="J416" s="45" t="str">
        <f>VLOOKUP(Table13232[[#This Row],[Track]],$C$836:$E$882,2,FALSE)</f>
        <v>Qld</v>
      </c>
      <c r="K416" s="49">
        <v>100</v>
      </c>
      <c r="L416" s="45" t="str">
        <f>IF(Table13232[[#This Row],[Fin]]&lt;&gt;"1st","",Table13232[[#This Row],[Div]]*Table13232[[#This Row],[Lev Bet]])</f>
        <v/>
      </c>
      <c r="M416" s="45">
        <f>IF(Table13232[[#This Row],[Lev Ret]]="",Table13232[[#This Row],[Lev Bet]]*-1,L416-K416)</f>
        <v>-100</v>
      </c>
      <c r="N416" s="135">
        <v>100</v>
      </c>
      <c r="O416" s="135" t="str">
        <f>IF(Table13232[[#This Row],[Fin]]&lt;&gt;"1st","",Table13232[[#This Row],[Div]]*Table13232[[#This Row],[Nat and Combo Bet]])</f>
        <v/>
      </c>
      <c r="P416" s="135">
        <f>IF(Table13232[[#This Row],[Lev Ret]]="",Table13232[[#This Row],[Nat and Combo Bet]]*-1,O416-N416)</f>
        <v>-100</v>
      </c>
      <c r="Q416" s="50">
        <f t="shared" si="18"/>
        <v>1</v>
      </c>
      <c r="R416" s="50">
        <f>IF(AND(Q415=2,Q416=1),"",IF(Q416=2,(N416+N417)/2,IF(Table13232[[#This Row],[Dual Listing]]=1,Table13232[[#This Row],[Nat and Combo Bet]],11)))</f>
        <v>100</v>
      </c>
      <c r="S416" s="50" t="str">
        <f t="shared" si="19"/>
        <v/>
      </c>
      <c r="T416" s="50">
        <f t="shared" si="20"/>
        <v>-100</v>
      </c>
      <c r="U416" s="50" t="str">
        <f>IF(Table13232[[#This Row],[Date]]&lt;$U$4,"","Live")</f>
        <v/>
      </c>
      <c r="V416" s="45" t="str">
        <f>TEXT(Table13232[[#This Row],[Date]],"DDD")</f>
        <v>Sat</v>
      </c>
      <c r="W416" s="45" t="str">
        <f>PROPER(TRIM(Table13232[[#This Row],[Horse]]))</f>
        <v>Hawker Hall</v>
      </c>
    </row>
    <row r="417" spans="1:23" x14ac:dyDescent="0.25">
      <c r="A417" s="43">
        <v>45871</v>
      </c>
      <c r="B417" s="44">
        <v>0.70486111111111116</v>
      </c>
      <c r="C417" s="44" t="s">
        <v>10</v>
      </c>
      <c r="D417" s="45">
        <v>9</v>
      </c>
      <c r="E417" s="45">
        <v>9</v>
      </c>
      <c r="F417" s="46" t="s">
        <v>450</v>
      </c>
      <c r="G417" s="46"/>
      <c r="H417" s="47"/>
      <c r="I417" s="52" t="s">
        <v>297</v>
      </c>
      <c r="J417" s="45" t="str">
        <f>VLOOKUP(Table13232[[#This Row],[Track]],$C$836:$E$882,2,FALSE)</f>
        <v>Vic</v>
      </c>
      <c r="K417" s="49">
        <v>100</v>
      </c>
      <c r="L417" s="45" t="str">
        <f>IF(Table13232[[#This Row],[Fin]]&lt;&gt;"1st","",Table13232[[#This Row],[Div]]*Table13232[[#This Row],[Lev Bet]])</f>
        <v/>
      </c>
      <c r="M417" s="45">
        <f>IF(Table13232[[#This Row],[Lev Ret]]="",Table13232[[#This Row],[Lev Bet]]*-1,L417-K417)</f>
        <v>-100</v>
      </c>
      <c r="N417" s="135">
        <v>100</v>
      </c>
      <c r="O417" s="135" t="str">
        <f>IF(Table13232[[#This Row],[Fin]]&lt;&gt;"1st","",Table13232[[#This Row],[Div]]*Table13232[[#This Row],[Nat and Combo Bet]])</f>
        <v/>
      </c>
      <c r="P417" s="135">
        <f>IF(Table13232[[#This Row],[Lev Ret]]="",Table13232[[#This Row],[Nat and Combo Bet]]*-1,O417-N417)</f>
        <v>-100</v>
      </c>
      <c r="Q417" s="50">
        <f t="shared" si="18"/>
        <v>1</v>
      </c>
      <c r="R417" s="50">
        <f>IF(AND(Q416=2,Q417=1),"",IF(Q417=2,(N417+N418)/2,IF(Table13232[[#This Row],[Dual Listing]]=1,Table13232[[#This Row],[Nat and Combo Bet]],11)))</f>
        <v>100</v>
      </c>
      <c r="S417" s="50" t="str">
        <f t="shared" si="19"/>
        <v/>
      </c>
      <c r="T417" s="50">
        <f t="shared" si="20"/>
        <v>-100</v>
      </c>
      <c r="U417" s="50" t="str">
        <f>IF(Table13232[[#This Row],[Date]]&lt;$U$4,"","Live")</f>
        <v/>
      </c>
      <c r="V417" s="45" t="str">
        <f>TEXT(Table13232[[#This Row],[Date]],"DDD")</f>
        <v>Sat</v>
      </c>
      <c r="W417" s="45" t="str">
        <f>PROPER(TRIM(Table13232[[#This Row],[Horse]]))</f>
        <v>Illyivy</v>
      </c>
    </row>
    <row r="418" spans="1:23" x14ac:dyDescent="0.25">
      <c r="A418" s="43">
        <v>45871</v>
      </c>
      <c r="B418" s="44">
        <v>0.70486111111111116</v>
      </c>
      <c r="C418" s="44" t="s">
        <v>10</v>
      </c>
      <c r="D418" s="45">
        <v>9</v>
      </c>
      <c r="E418" s="45">
        <v>1</v>
      </c>
      <c r="F418" s="46" t="s">
        <v>193</v>
      </c>
      <c r="G418" s="46" t="s">
        <v>21</v>
      </c>
      <c r="H418" s="47">
        <v>4</v>
      </c>
      <c r="I418" s="52" t="s">
        <v>297</v>
      </c>
      <c r="J418" s="45" t="str">
        <f>VLOOKUP(Table13232[[#This Row],[Track]],$C$836:$E$882,2,FALSE)</f>
        <v>Vic</v>
      </c>
      <c r="K418" s="49">
        <v>100</v>
      </c>
      <c r="L418" s="45">
        <f>IF(Table13232[[#This Row],[Fin]]&lt;&gt;"1st","",Table13232[[#This Row],[Div]]*Table13232[[#This Row],[Lev Bet]])</f>
        <v>400</v>
      </c>
      <c r="M418" s="45">
        <f>IF(Table13232[[#This Row],[Lev Ret]]="",Table13232[[#This Row],[Lev Bet]]*-1,L418-K418)</f>
        <v>300</v>
      </c>
      <c r="N418" s="135">
        <v>150</v>
      </c>
      <c r="O418" s="135">
        <f>IF(Table13232[[#This Row],[Fin]]&lt;&gt;"1st","",Table13232[[#This Row],[Div]]*Table13232[[#This Row],[Nat and Combo Bet]])</f>
        <v>600</v>
      </c>
      <c r="P418" s="135">
        <f>IF(Table13232[[#This Row],[Lev Ret]]="",Table13232[[#This Row],[Nat and Combo Bet]]*-1,O418-N418)</f>
        <v>450</v>
      </c>
      <c r="Q418" s="50">
        <f t="shared" si="18"/>
        <v>1</v>
      </c>
      <c r="R418" s="50">
        <f>IF(AND(Q417=2,Q418=1),"",IF(Q418=2,(N418+N419)/2,IF(Table13232[[#This Row],[Dual Listing]]=1,Table13232[[#This Row],[Nat and Combo Bet]],11)))</f>
        <v>150</v>
      </c>
      <c r="S418" s="50">
        <f t="shared" si="19"/>
        <v>600</v>
      </c>
      <c r="T418" s="50">
        <f t="shared" si="20"/>
        <v>450</v>
      </c>
      <c r="U418" s="50" t="str">
        <f>IF(Table13232[[#This Row],[Date]]&lt;$U$4,"","Live")</f>
        <v/>
      </c>
      <c r="V418" s="45" t="str">
        <f>TEXT(Table13232[[#This Row],[Date]],"DDD")</f>
        <v>Sat</v>
      </c>
      <c r="W418" s="45" t="str">
        <f>PROPER(TRIM(Table13232[[#This Row],[Horse]]))</f>
        <v>Stylish</v>
      </c>
    </row>
    <row r="419" spans="1:23" x14ac:dyDescent="0.25">
      <c r="A419" s="43">
        <v>45878</v>
      </c>
      <c r="B419" s="44">
        <v>0.48472222222222222</v>
      </c>
      <c r="C419" s="44" t="s">
        <v>12</v>
      </c>
      <c r="D419" s="45">
        <v>1</v>
      </c>
      <c r="E419" s="45">
        <v>6</v>
      </c>
      <c r="F419" s="46" t="s">
        <v>213</v>
      </c>
      <c r="G419" s="46" t="s">
        <v>22</v>
      </c>
      <c r="H419" s="47"/>
      <c r="I419" s="47" t="s">
        <v>298</v>
      </c>
      <c r="J419" s="45" t="str">
        <f>VLOOKUP(Table13232[[#This Row],[Track]],$C$836:$E$882,2,FALSE)</f>
        <v>Qld</v>
      </c>
      <c r="K419" s="49">
        <v>100</v>
      </c>
      <c r="L419" s="45" t="str">
        <f>IF(Table13232[[#This Row],[Fin]]&lt;&gt;"1st","",Table13232[[#This Row],[Div]]*Table13232[[#This Row],[Lev Bet]])</f>
        <v/>
      </c>
      <c r="M419" s="45">
        <f>IF(Table13232[[#This Row],[Lev Ret]]="",Table13232[[#This Row],[Lev Bet]]*-1,L419-K419)</f>
        <v>-100</v>
      </c>
      <c r="N419" s="135">
        <v>100</v>
      </c>
      <c r="O419" s="135" t="str">
        <f>IF(Table13232[[#This Row],[Fin]]&lt;&gt;"1st","",Table13232[[#This Row],[Div]]*Table13232[[#This Row],[Nat and Combo Bet]])</f>
        <v/>
      </c>
      <c r="P419" s="135">
        <f>IF(Table13232[[#This Row],[Lev Ret]]="",Table13232[[#This Row],[Nat and Combo Bet]]*-1,O419-N419)</f>
        <v>-100</v>
      </c>
      <c r="Q419" s="50">
        <f t="shared" si="18"/>
        <v>1</v>
      </c>
      <c r="R419" s="50">
        <f>IF(AND(Q418=2,Q419=1),"",IF(Q419=2,(N419+N420)/2,IF(Table13232[[#This Row],[Dual Listing]]=1,Table13232[[#This Row],[Nat and Combo Bet]],11)))</f>
        <v>100</v>
      </c>
      <c r="S419" s="50" t="str">
        <f t="shared" si="19"/>
        <v/>
      </c>
      <c r="T419" s="50">
        <f t="shared" si="20"/>
        <v>-100</v>
      </c>
      <c r="U419" s="50" t="str">
        <f>IF(Table13232[[#This Row],[Date]]&lt;$U$4,"","Live")</f>
        <v/>
      </c>
      <c r="V419" s="45" t="str">
        <f>TEXT(Table13232[[#This Row],[Date]],"DDD")</f>
        <v>Sat</v>
      </c>
      <c r="W419" s="45" t="str">
        <f>PROPER(TRIM(Table13232[[#This Row],[Horse]]))</f>
        <v>Kadall</v>
      </c>
    </row>
    <row r="420" spans="1:23" x14ac:dyDescent="0.25">
      <c r="A420" s="43">
        <v>45878</v>
      </c>
      <c r="B420" s="44">
        <v>0.55763888888888891</v>
      </c>
      <c r="C420" s="44" t="s">
        <v>12</v>
      </c>
      <c r="D420" s="45">
        <v>4</v>
      </c>
      <c r="E420" s="45">
        <v>7</v>
      </c>
      <c r="F420" s="46" t="s">
        <v>68</v>
      </c>
      <c r="G420" s="46" t="s">
        <v>21</v>
      </c>
      <c r="H420" s="47">
        <v>4.8</v>
      </c>
      <c r="I420" s="47" t="s">
        <v>298</v>
      </c>
      <c r="J420" s="45" t="str">
        <f>VLOOKUP(Table13232[[#This Row],[Track]],$C$836:$E$882,2,FALSE)</f>
        <v>Qld</v>
      </c>
      <c r="K420" s="49">
        <v>100</v>
      </c>
      <c r="L420" s="45">
        <f>IF(Table13232[[#This Row],[Fin]]&lt;&gt;"1st","",Table13232[[#This Row],[Div]]*Table13232[[#This Row],[Lev Bet]])</f>
        <v>480</v>
      </c>
      <c r="M420" s="45">
        <f>IF(Table13232[[#This Row],[Lev Ret]]="",Table13232[[#This Row],[Lev Bet]]*-1,L420-K420)</f>
        <v>380</v>
      </c>
      <c r="N420" s="135">
        <v>100</v>
      </c>
      <c r="O420" s="135">
        <f>IF(Table13232[[#This Row],[Fin]]&lt;&gt;"1st","",Table13232[[#This Row],[Div]]*Table13232[[#This Row],[Nat and Combo Bet]])</f>
        <v>480</v>
      </c>
      <c r="P420" s="135">
        <f>IF(Table13232[[#This Row],[Lev Ret]]="",Table13232[[#This Row],[Nat and Combo Bet]]*-1,O420-N420)</f>
        <v>380</v>
      </c>
      <c r="Q420" s="50">
        <f t="shared" si="18"/>
        <v>1</v>
      </c>
      <c r="R420" s="50">
        <f>IF(AND(Q419=2,Q420=1),"",IF(Q420=2,(N420+N421)/2,IF(Table13232[[#This Row],[Dual Listing]]=1,Table13232[[#This Row],[Nat and Combo Bet]],11)))</f>
        <v>100</v>
      </c>
      <c r="S420" s="50">
        <f t="shared" si="19"/>
        <v>480</v>
      </c>
      <c r="T420" s="50">
        <f t="shared" si="20"/>
        <v>380</v>
      </c>
      <c r="U420" s="50" t="str">
        <f>IF(Table13232[[#This Row],[Date]]&lt;$U$4,"","Live")</f>
        <v/>
      </c>
      <c r="V420" s="45" t="str">
        <f>TEXT(Table13232[[#This Row],[Date]],"DDD")</f>
        <v>Sat</v>
      </c>
      <c r="W420" s="45" t="str">
        <f>PROPER(TRIM(Table13232[[#This Row],[Horse]]))</f>
        <v>Free Carry</v>
      </c>
    </row>
    <row r="421" spans="1:23" x14ac:dyDescent="0.25">
      <c r="A421" s="43">
        <v>45878</v>
      </c>
      <c r="B421" s="44">
        <v>0.5625</v>
      </c>
      <c r="C421" s="44" t="s">
        <v>36</v>
      </c>
      <c r="D421" s="45">
        <v>3</v>
      </c>
      <c r="E421" s="45">
        <v>6</v>
      </c>
      <c r="F421" s="46" t="s">
        <v>451</v>
      </c>
      <c r="G421" s="46" t="s">
        <v>21</v>
      </c>
      <c r="H421" s="47">
        <v>4.8</v>
      </c>
      <c r="I421" s="52" t="s">
        <v>297</v>
      </c>
      <c r="J421" s="45" t="str">
        <f>VLOOKUP(Table13232[[#This Row],[Track]],$C$836:$E$882,2,FALSE)</f>
        <v>Vic</v>
      </c>
      <c r="K421" s="49">
        <v>100</v>
      </c>
      <c r="L421" s="45">
        <f>IF(Table13232[[#This Row],[Fin]]&lt;&gt;"1st","",Table13232[[#This Row],[Div]]*Table13232[[#This Row],[Lev Bet]])</f>
        <v>480</v>
      </c>
      <c r="M421" s="45">
        <f>IF(Table13232[[#This Row],[Lev Ret]]="",Table13232[[#This Row],[Lev Bet]]*-1,L421-K421)</f>
        <v>380</v>
      </c>
      <c r="N421" s="135">
        <v>150</v>
      </c>
      <c r="O421" s="135">
        <f>IF(Table13232[[#This Row],[Fin]]&lt;&gt;"1st","",Table13232[[#This Row],[Div]]*Table13232[[#This Row],[Nat and Combo Bet]])</f>
        <v>720</v>
      </c>
      <c r="P421" s="135">
        <f>IF(Table13232[[#This Row],[Lev Ret]]="",Table13232[[#This Row],[Nat and Combo Bet]]*-1,O421-N421)</f>
        <v>570</v>
      </c>
      <c r="Q421" s="50">
        <f t="shared" si="18"/>
        <v>1</v>
      </c>
      <c r="R421" s="50">
        <f>IF(AND(Q420=2,Q421=1),"",IF(Q421=2,(N421+N422)/2,IF(Table13232[[#This Row],[Dual Listing]]=1,Table13232[[#This Row],[Nat and Combo Bet]],11)))</f>
        <v>150</v>
      </c>
      <c r="S421" s="50">
        <f t="shared" si="19"/>
        <v>720</v>
      </c>
      <c r="T421" s="50">
        <f t="shared" si="20"/>
        <v>570</v>
      </c>
      <c r="U421" s="50" t="str">
        <f>IF(Table13232[[#This Row],[Date]]&lt;$U$4,"","Live")</f>
        <v/>
      </c>
      <c r="V421" s="45" t="str">
        <f>TEXT(Table13232[[#This Row],[Date]],"DDD")</f>
        <v>Sat</v>
      </c>
      <c r="W421" s="45" t="str">
        <f>PROPER(TRIM(Table13232[[#This Row],[Horse]]))</f>
        <v>Takeko</v>
      </c>
    </row>
    <row r="422" spans="1:23" x14ac:dyDescent="0.25">
      <c r="A422" s="43">
        <v>45878</v>
      </c>
      <c r="B422" s="44">
        <v>0.58194444444444449</v>
      </c>
      <c r="C422" s="44" t="s">
        <v>12</v>
      </c>
      <c r="D422" s="45">
        <v>5</v>
      </c>
      <c r="E422" s="45">
        <v>3</v>
      </c>
      <c r="F422" s="46" t="s">
        <v>201</v>
      </c>
      <c r="G422" s="46"/>
      <c r="H422" s="47"/>
      <c r="I422" s="47" t="s">
        <v>298</v>
      </c>
      <c r="J422" s="45" t="str">
        <f>VLOOKUP(Table13232[[#This Row],[Track]],$C$836:$E$882,2,FALSE)</f>
        <v>Qld</v>
      </c>
      <c r="K422" s="49">
        <v>100</v>
      </c>
      <c r="L422" s="45" t="str">
        <f>IF(Table13232[[#This Row],[Fin]]&lt;&gt;"1st","",Table13232[[#This Row],[Div]]*Table13232[[#This Row],[Lev Bet]])</f>
        <v/>
      </c>
      <c r="M422" s="45">
        <f>IF(Table13232[[#This Row],[Lev Ret]]="",Table13232[[#This Row],[Lev Bet]]*-1,L422-K422)</f>
        <v>-100</v>
      </c>
      <c r="N422" s="135">
        <v>100</v>
      </c>
      <c r="O422" s="135" t="str">
        <f>IF(Table13232[[#This Row],[Fin]]&lt;&gt;"1st","",Table13232[[#This Row],[Div]]*Table13232[[#This Row],[Nat and Combo Bet]])</f>
        <v/>
      </c>
      <c r="P422" s="135">
        <f>IF(Table13232[[#This Row],[Lev Ret]]="",Table13232[[#This Row],[Nat and Combo Bet]]*-1,O422-N422)</f>
        <v>-100</v>
      </c>
      <c r="Q422" s="50">
        <f t="shared" si="18"/>
        <v>1</v>
      </c>
      <c r="R422" s="50">
        <f>IF(AND(Q421=2,Q422=1),"",IF(Q422=2,(N422+N423)/2,IF(Table13232[[#This Row],[Dual Listing]]=1,Table13232[[#This Row],[Nat and Combo Bet]],11)))</f>
        <v>100</v>
      </c>
      <c r="S422" s="50" t="str">
        <f t="shared" si="19"/>
        <v/>
      </c>
      <c r="T422" s="50">
        <f t="shared" si="20"/>
        <v>-100</v>
      </c>
      <c r="U422" s="50" t="str">
        <f>IF(Table13232[[#This Row],[Date]]&lt;$U$4,"","Live")</f>
        <v/>
      </c>
      <c r="V422" s="45" t="str">
        <f>TEXT(Table13232[[#This Row],[Date]],"DDD")</f>
        <v>Sat</v>
      </c>
      <c r="W422" s="45" t="str">
        <f>PROPER(TRIM(Table13232[[#This Row],[Horse]]))</f>
        <v>Fioprospero</v>
      </c>
    </row>
    <row r="423" spans="1:23" x14ac:dyDescent="0.25">
      <c r="A423" s="43">
        <v>45878</v>
      </c>
      <c r="B423" s="44">
        <v>0.6333333333333333</v>
      </c>
      <c r="C423" s="44" t="s">
        <v>12</v>
      </c>
      <c r="D423" s="45">
        <v>7</v>
      </c>
      <c r="E423" s="45">
        <v>9</v>
      </c>
      <c r="F423" s="46" t="s">
        <v>214</v>
      </c>
      <c r="G423" s="46" t="s">
        <v>23</v>
      </c>
      <c r="H423" s="47"/>
      <c r="I423" s="47" t="s">
        <v>298</v>
      </c>
      <c r="J423" s="45" t="str">
        <f>VLOOKUP(Table13232[[#This Row],[Track]],$C$836:$E$882,2,FALSE)</f>
        <v>Qld</v>
      </c>
      <c r="K423" s="49">
        <v>100</v>
      </c>
      <c r="L423" s="45" t="str">
        <f>IF(Table13232[[#This Row],[Fin]]&lt;&gt;"1st","",Table13232[[#This Row],[Div]]*Table13232[[#This Row],[Lev Bet]])</f>
        <v/>
      </c>
      <c r="M423" s="45">
        <f>IF(Table13232[[#This Row],[Lev Ret]]="",Table13232[[#This Row],[Lev Bet]]*-1,L423-K423)</f>
        <v>-100</v>
      </c>
      <c r="N423" s="135">
        <v>100</v>
      </c>
      <c r="O423" s="135" t="str">
        <f>IF(Table13232[[#This Row],[Fin]]&lt;&gt;"1st","",Table13232[[#This Row],[Div]]*Table13232[[#This Row],[Nat and Combo Bet]])</f>
        <v/>
      </c>
      <c r="P423" s="135">
        <f>IF(Table13232[[#This Row],[Lev Ret]]="",Table13232[[#This Row],[Nat and Combo Bet]]*-1,O423-N423)</f>
        <v>-100</v>
      </c>
      <c r="Q423" s="50">
        <f t="shared" si="18"/>
        <v>1</v>
      </c>
      <c r="R423" s="50">
        <f>IF(AND(Q422=2,Q423=1),"",IF(Q423=2,(N423+N424)/2,IF(Table13232[[#This Row],[Dual Listing]]=1,Table13232[[#This Row],[Nat and Combo Bet]],11)))</f>
        <v>100</v>
      </c>
      <c r="S423" s="50" t="str">
        <f t="shared" si="19"/>
        <v/>
      </c>
      <c r="T423" s="50">
        <f t="shared" si="20"/>
        <v>-100</v>
      </c>
      <c r="U423" s="50" t="str">
        <f>IF(Table13232[[#This Row],[Date]]&lt;$U$4,"","Live")</f>
        <v/>
      </c>
      <c r="V423" s="45" t="str">
        <f>TEXT(Table13232[[#This Row],[Date]],"DDD")</f>
        <v>Sat</v>
      </c>
      <c r="W423" s="45" t="str">
        <f>PROPER(TRIM(Table13232[[#This Row],[Horse]]))</f>
        <v>Bullion Boy</v>
      </c>
    </row>
    <row r="424" spans="1:23" x14ac:dyDescent="0.25">
      <c r="A424" s="43">
        <v>45878</v>
      </c>
      <c r="B424" s="44">
        <v>0.65833333333333333</v>
      </c>
      <c r="C424" s="44" t="s">
        <v>12</v>
      </c>
      <c r="D424" s="45">
        <v>8</v>
      </c>
      <c r="E424" s="45">
        <v>3</v>
      </c>
      <c r="F424" s="46" t="s">
        <v>215</v>
      </c>
      <c r="G424" s="46"/>
      <c r="H424" s="47"/>
      <c r="I424" s="47" t="s">
        <v>298</v>
      </c>
      <c r="J424" s="45" t="str">
        <f>VLOOKUP(Table13232[[#This Row],[Track]],$C$836:$E$882,2,FALSE)</f>
        <v>Qld</v>
      </c>
      <c r="K424" s="49">
        <v>100</v>
      </c>
      <c r="L424" s="45" t="str">
        <f>IF(Table13232[[#This Row],[Fin]]&lt;&gt;"1st","",Table13232[[#This Row],[Div]]*Table13232[[#This Row],[Lev Bet]])</f>
        <v/>
      </c>
      <c r="M424" s="45">
        <f>IF(Table13232[[#This Row],[Lev Ret]]="",Table13232[[#This Row],[Lev Bet]]*-1,L424-K424)</f>
        <v>-100</v>
      </c>
      <c r="N424" s="135">
        <v>100</v>
      </c>
      <c r="O424" s="135" t="str">
        <f>IF(Table13232[[#This Row],[Fin]]&lt;&gt;"1st","",Table13232[[#This Row],[Div]]*Table13232[[#This Row],[Nat and Combo Bet]])</f>
        <v/>
      </c>
      <c r="P424" s="135">
        <f>IF(Table13232[[#This Row],[Lev Ret]]="",Table13232[[#This Row],[Nat and Combo Bet]]*-1,O424-N424)</f>
        <v>-100</v>
      </c>
      <c r="Q424" s="50">
        <f t="shared" si="18"/>
        <v>1</v>
      </c>
      <c r="R424" s="50">
        <f>IF(AND(Q423=2,Q424=1),"",IF(Q424=2,(N424+N425)/2,IF(Table13232[[#This Row],[Dual Listing]]=1,Table13232[[#This Row],[Nat and Combo Bet]],11)))</f>
        <v>100</v>
      </c>
      <c r="S424" s="50" t="str">
        <f t="shared" si="19"/>
        <v/>
      </c>
      <c r="T424" s="50">
        <f t="shared" si="20"/>
        <v>-100</v>
      </c>
      <c r="U424" s="50" t="str">
        <f>IF(Table13232[[#This Row],[Date]]&lt;$U$4,"","Live")</f>
        <v/>
      </c>
      <c r="V424" s="45" t="str">
        <f>TEXT(Table13232[[#This Row],[Date]],"DDD")</f>
        <v>Sat</v>
      </c>
      <c r="W424" s="45" t="str">
        <f>PROPER(TRIM(Table13232[[#This Row],[Horse]]))</f>
        <v>Power Beau</v>
      </c>
    </row>
    <row r="425" spans="1:23" x14ac:dyDescent="0.25">
      <c r="A425" s="43">
        <v>45878</v>
      </c>
      <c r="B425" s="44">
        <v>0.66319444444444442</v>
      </c>
      <c r="C425" s="44" t="s">
        <v>36</v>
      </c>
      <c r="D425" s="45">
        <v>7</v>
      </c>
      <c r="E425" s="45">
        <v>5</v>
      </c>
      <c r="F425" s="46" t="s">
        <v>432</v>
      </c>
      <c r="G425" s="46" t="s">
        <v>22</v>
      </c>
      <c r="H425" s="47"/>
      <c r="I425" s="52" t="s">
        <v>297</v>
      </c>
      <c r="J425" s="45" t="str">
        <f>VLOOKUP(Table13232[[#This Row],[Track]],$C$836:$E$882,2,FALSE)</f>
        <v>Vic</v>
      </c>
      <c r="K425" s="49">
        <v>100</v>
      </c>
      <c r="L425" s="45" t="str">
        <f>IF(Table13232[[#This Row],[Fin]]&lt;&gt;"1st","",Table13232[[#This Row],[Div]]*Table13232[[#This Row],[Lev Bet]])</f>
        <v/>
      </c>
      <c r="M425" s="45">
        <f>IF(Table13232[[#This Row],[Lev Ret]]="",Table13232[[#This Row],[Lev Bet]]*-1,L425-K425)</f>
        <v>-100</v>
      </c>
      <c r="N425" s="135">
        <v>150</v>
      </c>
      <c r="O425" s="135" t="str">
        <f>IF(Table13232[[#This Row],[Fin]]&lt;&gt;"1st","",Table13232[[#This Row],[Div]]*Table13232[[#This Row],[Nat and Combo Bet]])</f>
        <v/>
      </c>
      <c r="P425" s="135">
        <f>IF(Table13232[[#This Row],[Lev Ret]]="",Table13232[[#This Row],[Nat and Combo Bet]]*-1,O425-N425)</f>
        <v>-150</v>
      </c>
      <c r="Q425" s="50">
        <f t="shared" si="18"/>
        <v>1</v>
      </c>
      <c r="R425" s="50">
        <f>IF(AND(Q424=2,Q425=1),"",IF(Q425=2,(N425+N426)/2,IF(Table13232[[#This Row],[Dual Listing]]=1,Table13232[[#This Row],[Nat and Combo Bet]],11)))</f>
        <v>150</v>
      </c>
      <c r="S425" s="50" t="str">
        <f t="shared" si="19"/>
        <v/>
      </c>
      <c r="T425" s="50">
        <f t="shared" si="20"/>
        <v>-150</v>
      </c>
      <c r="U425" s="50" t="str">
        <f>IF(Table13232[[#This Row],[Date]]&lt;$U$4,"","Live")</f>
        <v/>
      </c>
      <c r="V425" s="45" t="str">
        <f>TEXT(Table13232[[#This Row],[Date]],"DDD")</f>
        <v>Sat</v>
      </c>
      <c r="W425" s="45" t="str">
        <f>PROPER(TRIM(Table13232[[#This Row],[Horse]]))</f>
        <v>Sayedaty Sadaty</v>
      </c>
    </row>
    <row r="426" spans="1:23" x14ac:dyDescent="0.25">
      <c r="A426" s="43">
        <v>45878</v>
      </c>
      <c r="B426" s="44">
        <v>0.68541666666666667</v>
      </c>
      <c r="C426" s="44" t="s">
        <v>12</v>
      </c>
      <c r="D426" s="45">
        <v>9</v>
      </c>
      <c r="E426" s="45">
        <v>14</v>
      </c>
      <c r="F426" s="46" t="s">
        <v>217</v>
      </c>
      <c r="G426" s="46"/>
      <c r="H426" s="47"/>
      <c r="I426" s="47" t="s">
        <v>298</v>
      </c>
      <c r="J426" s="45" t="str">
        <f>VLOOKUP(Table13232[[#This Row],[Track]],$C$836:$E$882,2,FALSE)</f>
        <v>Qld</v>
      </c>
      <c r="K426" s="49">
        <v>100</v>
      </c>
      <c r="L426" s="45" t="str">
        <f>IF(Table13232[[#This Row],[Fin]]&lt;&gt;"1st","",Table13232[[#This Row],[Div]]*Table13232[[#This Row],[Lev Bet]])</f>
        <v/>
      </c>
      <c r="M426" s="45">
        <f>IF(Table13232[[#This Row],[Lev Ret]]="",Table13232[[#This Row],[Lev Bet]]*-1,L426-K426)</f>
        <v>-100</v>
      </c>
      <c r="N426" s="135">
        <v>100</v>
      </c>
      <c r="O426" s="135" t="str">
        <f>IF(Table13232[[#This Row],[Fin]]&lt;&gt;"1st","",Table13232[[#This Row],[Div]]*Table13232[[#This Row],[Nat and Combo Bet]])</f>
        <v/>
      </c>
      <c r="P426" s="135">
        <f>IF(Table13232[[#This Row],[Lev Ret]]="",Table13232[[#This Row],[Nat and Combo Bet]]*-1,O426-N426)</f>
        <v>-100</v>
      </c>
      <c r="Q426" s="50">
        <f t="shared" si="18"/>
        <v>1</v>
      </c>
      <c r="R426" s="50">
        <f>IF(AND(Q425=2,Q426=1),"",IF(Q426=2,(N426+N427)/2,IF(Table13232[[#This Row],[Dual Listing]]=1,Table13232[[#This Row],[Nat and Combo Bet]],11)))</f>
        <v>100</v>
      </c>
      <c r="S426" s="50" t="str">
        <f t="shared" si="19"/>
        <v/>
      </c>
      <c r="T426" s="50">
        <f t="shared" si="20"/>
        <v>-100</v>
      </c>
      <c r="U426" s="50" t="str">
        <f>IF(Table13232[[#This Row],[Date]]&lt;$U$4,"","Live")</f>
        <v/>
      </c>
      <c r="V426" s="45" t="str">
        <f>TEXT(Table13232[[#This Row],[Date]],"DDD")</f>
        <v>Sat</v>
      </c>
      <c r="W426" s="45" t="str">
        <f>PROPER(TRIM(Table13232[[#This Row],[Horse]]))</f>
        <v>Pareto</v>
      </c>
    </row>
    <row r="427" spans="1:23" x14ac:dyDescent="0.25">
      <c r="A427" s="43">
        <v>45885</v>
      </c>
      <c r="B427" s="44">
        <v>0.48819444444444443</v>
      </c>
      <c r="C427" s="44" t="s">
        <v>9</v>
      </c>
      <c r="D427" s="45">
        <v>1</v>
      </c>
      <c r="E427" s="45">
        <v>6</v>
      </c>
      <c r="F427" s="46" t="s">
        <v>218</v>
      </c>
      <c r="G427" s="46"/>
      <c r="H427" s="47"/>
      <c r="I427" s="47" t="s">
        <v>298</v>
      </c>
      <c r="J427" s="45" t="str">
        <f>VLOOKUP(Table13232[[#This Row],[Track]],$C$836:$E$882,2,FALSE)</f>
        <v>Qld</v>
      </c>
      <c r="K427" s="49">
        <v>100</v>
      </c>
      <c r="L427" s="45" t="str">
        <f>IF(Table13232[[#This Row],[Fin]]&lt;&gt;"1st","",Table13232[[#This Row],[Div]]*Table13232[[#This Row],[Lev Bet]])</f>
        <v/>
      </c>
      <c r="M427" s="45">
        <f>IF(Table13232[[#This Row],[Lev Ret]]="",Table13232[[#This Row],[Lev Bet]]*-1,L427-K427)</f>
        <v>-100</v>
      </c>
      <c r="N427" s="135">
        <v>100</v>
      </c>
      <c r="O427" s="135" t="str">
        <f>IF(Table13232[[#This Row],[Fin]]&lt;&gt;"1st","",Table13232[[#This Row],[Div]]*Table13232[[#This Row],[Nat and Combo Bet]])</f>
        <v/>
      </c>
      <c r="P427" s="135">
        <f>IF(Table13232[[#This Row],[Lev Ret]]="",Table13232[[#This Row],[Nat and Combo Bet]]*-1,O427-N427)</f>
        <v>-100</v>
      </c>
      <c r="Q427" s="50">
        <f t="shared" si="18"/>
        <v>1</v>
      </c>
      <c r="R427" s="50">
        <f>IF(AND(Q426=2,Q427=1),"",IF(Q427=2,(N427+N428)/2,IF(Table13232[[#This Row],[Dual Listing]]=1,Table13232[[#This Row],[Nat and Combo Bet]],11)))</f>
        <v>100</v>
      </c>
      <c r="S427" s="50" t="str">
        <f t="shared" si="19"/>
        <v/>
      </c>
      <c r="T427" s="50">
        <f t="shared" si="20"/>
        <v>-100</v>
      </c>
      <c r="U427" s="50" t="str">
        <f>IF(Table13232[[#This Row],[Date]]&lt;$U$4,"","Live")</f>
        <v/>
      </c>
      <c r="V427" s="45" t="str">
        <f>TEXT(Table13232[[#This Row],[Date]],"DDD")</f>
        <v>Sat</v>
      </c>
      <c r="W427" s="45" t="str">
        <f>PROPER(TRIM(Table13232[[#This Row],[Horse]]))</f>
        <v>Victory Flame</v>
      </c>
    </row>
    <row r="428" spans="1:23" x14ac:dyDescent="0.25">
      <c r="A428" s="43">
        <v>45885</v>
      </c>
      <c r="B428" s="44">
        <v>0.51249999999999996</v>
      </c>
      <c r="C428" s="44" t="s">
        <v>9</v>
      </c>
      <c r="D428" s="45">
        <v>2</v>
      </c>
      <c r="E428" s="45">
        <v>5</v>
      </c>
      <c r="F428" s="46" t="s">
        <v>153</v>
      </c>
      <c r="G428" s="46" t="s">
        <v>21</v>
      </c>
      <c r="H428" s="47">
        <v>3.5</v>
      </c>
      <c r="I428" s="47" t="s">
        <v>298</v>
      </c>
      <c r="J428" s="45" t="str">
        <f>VLOOKUP(Table13232[[#This Row],[Track]],$C$836:$E$882,2,FALSE)</f>
        <v>Qld</v>
      </c>
      <c r="K428" s="49">
        <v>100</v>
      </c>
      <c r="L428" s="45">
        <f>IF(Table13232[[#This Row],[Fin]]&lt;&gt;"1st","",Table13232[[#This Row],[Div]]*Table13232[[#This Row],[Lev Bet]])</f>
        <v>350</v>
      </c>
      <c r="M428" s="45">
        <f>IF(Table13232[[#This Row],[Lev Ret]]="",Table13232[[#This Row],[Lev Bet]]*-1,L428-K428)</f>
        <v>250</v>
      </c>
      <c r="N428" s="135">
        <v>100</v>
      </c>
      <c r="O428" s="135">
        <f>IF(Table13232[[#This Row],[Fin]]&lt;&gt;"1st","",Table13232[[#This Row],[Div]]*Table13232[[#This Row],[Nat and Combo Bet]])</f>
        <v>350</v>
      </c>
      <c r="P428" s="135">
        <f>IF(Table13232[[#This Row],[Lev Ret]]="",Table13232[[#This Row],[Nat and Combo Bet]]*-1,O428-N428)</f>
        <v>250</v>
      </c>
      <c r="Q428" s="50">
        <f t="shared" si="18"/>
        <v>1</v>
      </c>
      <c r="R428" s="50">
        <f>IF(AND(Q427=2,Q428=1),"",IF(Q428=2,(N428+N429)/2,IF(Table13232[[#This Row],[Dual Listing]]=1,Table13232[[#This Row],[Nat and Combo Bet]],11)))</f>
        <v>100</v>
      </c>
      <c r="S428" s="50">
        <f t="shared" si="19"/>
        <v>350</v>
      </c>
      <c r="T428" s="50">
        <f t="shared" si="20"/>
        <v>250</v>
      </c>
      <c r="U428" s="50" t="str">
        <f>IF(Table13232[[#This Row],[Date]]&lt;$U$4,"","Live")</f>
        <v/>
      </c>
      <c r="V428" s="45" t="str">
        <f>TEXT(Table13232[[#This Row],[Date]],"DDD")</f>
        <v>Sat</v>
      </c>
      <c r="W428" s="45" t="str">
        <f>PROPER(TRIM(Table13232[[#This Row],[Horse]]))</f>
        <v>The Right Way</v>
      </c>
    </row>
    <row r="429" spans="1:23" x14ac:dyDescent="0.25">
      <c r="A429" s="43">
        <v>45885</v>
      </c>
      <c r="B429" s="44">
        <v>0.55555555555555558</v>
      </c>
      <c r="C429" s="44" t="s">
        <v>11</v>
      </c>
      <c r="D429" s="45">
        <v>4</v>
      </c>
      <c r="E429" s="45">
        <v>9</v>
      </c>
      <c r="F429" s="46" t="s">
        <v>452</v>
      </c>
      <c r="G429" s="46"/>
      <c r="H429" s="47"/>
      <c r="I429" s="52" t="s">
        <v>297</v>
      </c>
      <c r="J429" s="45" t="str">
        <f>VLOOKUP(Table13232[[#This Row],[Track]],$C$836:$E$882,2,FALSE)</f>
        <v>NSW</v>
      </c>
      <c r="K429" s="49">
        <v>100</v>
      </c>
      <c r="L429" s="45" t="str">
        <f>IF(Table13232[[#This Row],[Fin]]&lt;&gt;"1st","",Table13232[[#This Row],[Div]]*Table13232[[#This Row],[Lev Bet]])</f>
        <v/>
      </c>
      <c r="M429" s="45">
        <f>IF(Table13232[[#This Row],[Lev Ret]]="",Table13232[[#This Row],[Lev Bet]]*-1,L429-K429)</f>
        <v>-100</v>
      </c>
      <c r="N429" s="135">
        <v>100</v>
      </c>
      <c r="O429" s="135" t="str">
        <f>IF(Table13232[[#This Row],[Fin]]&lt;&gt;"1st","",Table13232[[#This Row],[Div]]*Table13232[[#This Row],[Nat and Combo Bet]])</f>
        <v/>
      </c>
      <c r="P429" s="135">
        <f>IF(Table13232[[#This Row],[Lev Ret]]="",Table13232[[#This Row],[Nat and Combo Bet]]*-1,O429-N429)</f>
        <v>-100</v>
      </c>
      <c r="Q429" s="50">
        <f t="shared" si="18"/>
        <v>1</v>
      </c>
      <c r="R429" s="50">
        <f>IF(AND(Q428=2,Q429=1),"",IF(Q429=2,(N429+N430)/2,IF(Table13232[[#This Row],[Dual Listing]]=1,Table13232[[#This Row],[Nat and Combo Bet]],11)))</f>
        <v>100</v>
      </c>
      <c r="S429" s="50" t="str">
        <f t="shared" si="19"/>
        <v/>
      </c>
      <c r="T429" s="50">
        <f t="shared" si="20"/>
        <v>-100</v>
      </c>
      <c r="U429" s="50" t="str">
        <f>IF(Table13232[[#This Row],[Date]]&lt;$U$4,"","Live")</f>
        <v/>
      </c>
      <c r="V429" s="45" t="str">
        <f>TEXT(Table13232[[#This Row],[Date]],"DDD")</f>
        <v>Sat</v>
      </c>
      <c r="W429" s="45" t="str">
        <f>PROPER(TRIM(Table13232[[#This Row],[Horse]]))</f>
        <v>Amreekiyah</v>
      </c>
    </row>
    <row r="430" spans="1:23" x14ac:dyDescent="0.25">
      <c r="A430" s="43">
        <v>45885</v>
      </c>
      <c r="B430" s="44">
        <v>0.60416666666666663</v>
      </c>
      <c r="C430" s="44" t="s">
        <v>11</v>
      </c>
      <c r="D430" s="45">
        <v>6</v>
      </c>
      <c r="E430" s="45">
        <v>11</v>
      </c>
      <c r="F430" s="46" t="s">
        <v>453</v>
      </c>
      <c r="G430" s="46"/>
      <c r="H430" s="47"/>
      <c r="I430" s="52" t="s">
        <v>297</v>
      </c>
      <c r="J430" s="45" t="str">
        <f>VLOOKUP(Table13232[[#This Row],[Track]],$C$836:$E$882,2,FALSE)</f>
        <v>NSW</v>
      </c>
      <c r="K430" s="49">
        <v>100</v>
      </c>
      <c r="L430" s="45" t="str">
        <f>IF(Table13232[[#This Row],[Fin]]&lt;&gt;"1st","",Table13232[[#This Row],[Div]]*Table13232[[#This Row],[Lev Bet]])</f>
        <v/>
      </c>
      <c r="M430" s="45">
        <f>IF(Table13232[[#This Row],[Lev Ret]]="",Table13232[[#This Row],[Lev Bet]]*-1,L430-K430)</f>
        <v>-100</v>
      </c>
      <c r="N430" s="135">
        <v>140</v>
      </c>
      <c r="O430" s="135" t="str">
        <f>IF(Table13232[[#This Row],[Fin]]&lt;&gt;"1st","",Table13232[[#This Row],[Div]]*Table13232[[#This Row],[Nat and Combo Bet]])</f>
        <v/>
      </c>
      <c r="P430" s="135">
        <f>IF(Table13232[[#This Row],[Lev Ret]]="",Table13232[[#This Row],[Nat and Combo Bet]]*-1,O430-N430)</f>
        <v>-140</v>
      </c>
      <c r="Q430" s="50">
        <f t="shared" si="18"/>
        <v>1</v>
      </c>
      <c r="R430" s="50">
        <f>IF(AND(Q429=2,Q430=1),"",IF(Q430=2,(N430+N431)/2,IF(Table13232[[#This Row],[Dual Listing]]=1,Table13232[[#This Row],[Nat and Combo Bet]],11)))</f>
        <v>140</v>
      </c>
      <c r="S430" s="50" t="str">
        <f t="shared" si="19"/>
        <v/>
      </c>
      <c r="T430" s="50">
        <f t="shared" si="20"/>
        <v>-140</v>
      </c>
      <c r="U430" s="50" t="str">
        <f>IF(Table13232[[#This Row],[Date]]&lt;$U$4,"","Live")</f>
        <v/>
      </c>
      <c r="V430" s="45" t="str">
        <f>TEXT(Table13232[[#This Row],[Date]],"DDD")</f>
        <v>Sat</v>
      </c>
      <c r="W430" s="45" t="str">
        <f>PROPER(TRIM(Table13232[[#This Row],[Horse]]))</f>
        <v>Pure Alpha</v>
      </c>
    </row>
    <row r="431" spans="1:23" x14ac:dyDescent="0.25">
      <c r="A431" s="43">
        <v>45885</v>
      </c>
      <c r="B431" s="44">
        <v>0.63680555555555551</v>
      </c>
      <c r="C431" s="44" t="s">
        <v>9</v>
      </c>
      <c r="D431" s="45">
        <v>7</v>
      </c>
      <c r="E431" s="45">
        <v>9</v>
      </c>
      <c r="F431" s="46" t="s">
        <v>219</v>
      </c>
      <c r="G431" s="46" t="s">
        <v>23</v>
      </c>
      <c r="H431" s="47"/>
      <c r="I431" s="47" t="s">
        <v>298</v>
      </c>
      <c r="J431" s="45" t="str">
        <f>VLOOKUP(Table13232[[#This Row],[Track]],$C$836:$E$882,2,FALSE)</f>
        <v>Qld</v>
      </c>
      <c r="K431" s="49">
        <v>100</v>
      </c>
      <c r="L431" s="45" t="str">
        <f>IF(Table13232[[#This Row],[Fin]]&lt;&gt;"1st","",Table13232[[#This Row],[Div]]*Table13232[[#This Row],[Lev Bet]])</f>
        <v/>
      </c>
      <c r="M431" s="45">
        <f>IF(Table13232[[#This Row],[Lev Ret]]="",Table13232[[#This Row],[Lev Bet]]*-1,L431-K431)</f>
        <v>-100</v>
      </c>
      <c r="N431" s="135">
        <v>100</v>
      </c>
      <c r="O431" s="135" t="str">
        <f>IF(Table13232[[#This Row],[Fin]]&lt;&gt;"1st","",Table13232[[#This Row],[Div]]*Table13232[[#This Row],[Nat and Combo Bet]])</f>
        <v/>
      </c>
      <c r="P431" s="135">
        <f>IF(Table13232[[#This Row],[Lev Ret]]="",Table13232[[#This Row],[Nat and Combo Bet]]*-1,O431-N431)</f>
        <v>-100</v>
      </c>
      <c r="Q431" s="50">
        <f t="shared" si="18"/>
        <v>1</v>
      </c>
      <c r="R431" s="50">
        <f>IF(AND(Q430=2,Q431=1),"",IF(Q431=2,(N431+N432)/2,IF(Table13232[[#This Row],[Dual Listing]]=1,Table13232[[#This Row],[Nat and Combo Bet]],11)))</f>
        <v>100</v>
      </c>
      <c r="S431" s="50" t="str">
        <f t="shared" si="19"/>
        <v/>
      </c>
      <c r="T431" s="50">
        <f t="shared" si="20"/>
        <v>-100</v>
      </c>
      <c r="U431" s="50" t="str">
        <f>IF(Table13232[[#This Row],[Date]]&lt;$U$4,"","Live")</f>
        <v/>
      </c>
      <c r="V431" s="45" t="str">
        <f>TEXT(Table13232[[#This Row],[Date]],"DDD")</f>
        <v>Sat</v>
      </c>
      <c r="W431" s="45" t="str">
        <f>PROPER(TRIM(Table13232[[#This Row],[Horse]]))</f>
        <v>Naval Trader</v>
      </c>
    </row>
    <row r="432" spans="1:23" x14ac:dyDescent="0.25">
      <c r="A432" s="43">
        <v>45885</v>
      </c>
      <c r="B432" s="44">
        <v>0.66180555555555554</v>
      </c>
      <c r="C432" s="44" t="s">
        <v>9</v>
      </c>
      <c r="D432" s="45">
        <v>8</v>
      </c>
      <c r="E432" s="45">
        <v>9</v>
      </c>
      <c r="F432" s="46" t="s">
        <v>220</v>
      </c>
      <c r="G432" s="46"/>
      <c r="H432" s="47"/>
      <c r="I432" s="47" t="s">
        <v>298</v>
      </c>
      <c r="J432" s="45" t="str">
        <f>VLOOKUP(Table13232[[#This Row],[Track]],$C$836:$E$882,2,FALSE)</f>
        <v>Qld</v>
      </c>
      <c r="K432" s="49">
        <v>100</v>
      </c>
      <c r="L432" s="45" t="str">
        <f>IF(Table13232[[#This Row],[Fin]]&lt;&gt;"1st","",Table13232[[#This Row],[Div]]*Table13232[[#This Row],[Lev Bet]])</f>
        <v/>
      </c>
      <c r="M432" s="45">
        <f>IF(Table13232[[#This Row],[Lev Ret]]="",Table13232[[#This Row],[Lev Bet]]*-1,L432-K432)</f>
        <v>-100</v>
      </c>
      <c r="N432" s="135">
        <v>100</v>
      </c>
      <c r="O432" s="135" t="str">
        <f>IF(Table13232[[#This Row],[Fin]]&lt;&gt;"1st","",Table13232[[#This Row],[Div]]*Table13232[[#This Row],[Nat and Combo Bet]])</f>
        <v/>
      </c>
      <c r="P432" s="135">
        <f>IF(Table13232[[#This Row],[Lev Ret]]="",Table13232[[#This Row],[Nat and Combo Bet]]*-1,O432-N432)</f>
        <v>-100</v>
      </c>
      <c r="Q432" s="50">
        <f t="shared" si="18"/>
        <v>1</v>
      </c>
      <c r="R432" s="50">
        <f>IF(AND(Q431=2,Q432=1),"",IF(Q432=2,(N432+N433)/2,IF(Table13232[[#This Row],[Dual Listing]]=1,Table13232[[#This Row],[Nat and Combo Bet]],11)))</f>
        <v>100</v>
      </c>
      <c r="S432" s="50" t="str">
        <f t="shared" si="19"/>
        <v/>
      </c>
      <c r="T432" s="50">
        <f t="shared" si="20"/>
        <v>-100</v>
      </c>
      <c r="U432" s="50" t="str">
        <f>IF(Table13232[[#This Row],[Date]]&lt;$U$4,"","Live")</f>
        <v/>
      </c>
      <c r="V432" s="45" t="str">
        <f>TEXT(Table13232[[#This Row],[Date]],"DDD")</f>
        <v>Sat</v>
      </c>
      <c r="W432" s="45" t="str">
        <f>PROPER(TRIM(Table13232[[#This Row],[Horse]]))</f>
        <v>Defiant Spirit</v>
      </c>
    </row>
    <row r="433" spans="1:23" x14ac:dyDescent="0.25">
      <c r="A433" s="43">
        <v>45885</v>
      </c>
      <c r="B433" s="44">
        <v>0.68055555555555558</v>
      </c>
      <c r="C433" s="44" t="s">
        <v>11</v>
      </c>
      <c r="D433" s="45">
        <v>9</v>
      </c>
      <c r="E433" s="45">
        <v>7</v>
      </c>
      <c r="F433" s="46" t="s">
        <v>454</v>
      </c>
      <c r="G433" s="46" t="s">
        <v>23</v>
      </c>
      <c r="H433" s="47"/>
      <c r="I433" s="52" t="s">
        <v>297</v>
      </c>
      <c r="J433" s="45" t="str">
        <f>VLOOKUP(Table13232[[#This Row],[Track]],$C$836:$E$882,2,FALSE)</f>
        <v>NSW</v>
      </c>
      <c r="K433" s="49">
        <v>100</v>
      </c>
      <c r="L433" s="45" t="str">
        <f>IF(Table13232[[#This Row],[Fin]]&lt;&gt;"1st","",Table13232[[#This Row],[Div]]*Table13232[[#This Row],[Lev Bet]])</f>
        <v/>
      </c>
      <c r="M433" s="45">
        <f>IF(Table13232[[#This Row],[Lev Ret]]="",Table13232[[#This Row],[Lev Bet]]*-1,L433-K433)</f>
        <v>-100</v>
      </c>
      <c r="N433" s="135">
        <v>150</v>
      </c>
      <c r="O433" s="135" t="str">
        <f>IF(Table13232[[#This Row],[Fin]]&lt;&gt;"1st","",Table13232[[#This Row],[Div]]*Table13232[[#This Row],[Nat and Combo Bet]])</f>
        <v/>
      </c>
      <c r="P433" s="135">
        <f>IF(Table13232[[#This Row],[Lev Ret]]="",Table13232[[#This Row],[Nat and Combo Bet]]*-1,O433-N433)</f>
        <v>-150</v>
      </c>
      <c r="Q433" s="50">
        <f t="shared" si="18"/>
        <v>1</v>
      </c>
      <c r="R433" s="50">
        <f>IF(AND(Q432=2,Q433=1),"",IF(Q433=2,(N433+N434)/2,IF(Table13232[[#This Row],[Dual Listing]]=1,Table13232[[#This Row],[Nat and Combo Bet]],11)))</f>
        <v>150</v>
      </c>
      <c r="S433" s="50" t="str">
        <f t="shared" si="19"/>
        <v/>
      </c>
      <c r="T433" s="50">
        <f t="shared" si="20"/>
        <v>-150</v>
      </c>
      <c r="U433" s="50" t="str">
        <f>IF(Table13232[[#This Row],[Date]]&lt;$U$4,"","Live")</f>
        <v/>
      </c>
      <c r="V433" s="45" t="str">
        <f>TEXT(Table13232[[#This Row],[Date]],"DDD")</f>
        <v>Sat</v>
      </c>
      <c r="W433" s="45" t="str">
        <f>PROPER(TRIM(Table13232[[#This Row],[Horse]]))</f>
        <v>Polyglot</v>
      </c>
    </row>
    <row r="434" spans="1:23" x14ac:dyDescent="0.25">
      <c r="A434" s="43">
        <v>45885</v>
      </c>
      <c r="B434" s="44">
        <v>0.68611111111111112</v>
      </c>
      <c r="C434" s="44" t="s">
        <v>9</v>
      </c>
      <c r="D434" s="45">
        <v>9</v>
      </c>
      <c r="E434" s="45">
        <v>14</v>
      </c>
      <c r="F434" s="46" t="s">
        <v>221</v>
      </c>
      <c r="G434" s="46"/>
      <c r="H434" s="47"/>
      <c r="I434" s="47" t="s">
        <v>298</v>
      </c>
      <c r="J434" s="45" t="str">
        <f>VLOOKUP(Table13232[[#This Row],[Track]],$C$836:$E$882,2,FALSE)</f>
        <v>Qld</v>
      </c>
      <c r="K434" s="49">
        <v>100</v>
      </c>
      <c r="L434" s="45" t="str">
        <f>IF(Table13232[[#This Row],[Fin]]&lt;&gt;"1st","",Table13232[[#This Row],[Div]]*Table13232[[#This Row],[Lev Bet]])</f>
        <v/>
      </c>
      <c r="M434" s="45">
        <f>IF(Table13232[[#This Row],[Lev Ret]]="",Table13232[[#This Row],[Lev Bet]]*-1,L434-K434)</f>
        <v>-100</v>
      </c>
      <c r="N434" s="135">
        <v>100</v>
      </c>
      <c r="O434" s="135" t="str">
        <f>IF(Table13232[[#This Row],[Fin]]&lt;&gt;"1st","",Table13232[[#This Row],[Div]]*Table13232[[#This Row],[Nat and Combo Bet]])</f>
        <v/>
      </c>
      <c r="P434" s="135">
        <f>IF(Table13232[[#This Row],[Lev Ret]]="",Table13232[[#This Row],[Nat and Combo Bet]]*-1,O434-N434)</f>
        <v>-100</v>
      </c>
      <c r="Q434" s="50">
        <f t="shared" si="18"/>
        <v>1</v>
      </c>
      <c r="R434" s="50">
        <f>IF(AND(Q433=2,Q434=1),"",IF(Q434=2,(N434+N435)/2,IF(Table13232[[#This Row],[Dual Listing]]=1,Table13232[[#This Row],[Nat and Combo Bet]],11)))</f>
        <v>100</v>
      </c>
      <c r="S434" s="50" t="str">
        <f t="shared" si="19"/>
        <v/>
      </c>
      <c r="T434" s="50">
        <f t="shared" si="20"/>
        <v>-100</v>
      </c>
      <c r="U434" s="50" t="str">
        <f>IF(Table13232[[#This Row],[Date]]&lt;$U$4,"","Live")</f>
        <v/>
      </c>
      <c r="V434" s="45" t="str">
        <f>TEXT(Table13232[[#This Row],[Date]],"DDD")</f>
        <v>Sat</v>
      </c>
      <c r="W434" s="45" t="str">
        <f>PROPER(TRIM(Table13232[[#This Row],[Horse]]))</f>
        <v>The Extreme Cat</v>
      </c>
    </row>
    <row r="435" spans="1:23" x14ac:dyDescent="0.25">
      <c r="A435" s="43">
        <v>45885</v>
      </c>
      <c r="B435" s="44">
        <v>0.69097222222222221</v>
      </c>
      <c r="C435" s="44" t="s">
        <v>34</v>
      </c>
      <c r="D435" s="45">
        <v>8</v>
      </c>
      <c r="E435" s="45">
        <v>6</v>
      </c>
      <c r="F435" s="46" t="s">
        <v>292</v>
      </c>
      <c r="G435" s="46"/>
      <c r="H435" s="47"/>
      <c r="I435" s="52" t="s">
        <v>297</v>
      </c>
      <c r="J435" s="45" t="str">
        <f>VLOOKUP(Table13232[[#This Row],[Track]],$C$836:$E$882,2,FALSE)</f>
        <v>Vic</v>
      </c>
      <c r="K435" s="49">
        <v>100</v>
      </c>
      <c r="L435" s="45" t="str">
        <f>IF(Table13232[[#This Row],[Fin]]&lt;&gt;"1st","",Table13232[[#This Row],[Div]]*Table13232[[#This Row],[Lev Bet]])</f>
        <v/>
      </c>
      <c r="M435" s="45">
        <f>IF(Table13232[[#This Row],[Lev Ret]]="",Table13232[[#This Row],[Lev Bet]]*-1,L435-K435)</f>
        <v>-100</v>
      </c>
      <c r="N435" s="135">
        <v>150</v>
      </c>
      <c r="O435" s="135" t="str">
        <f>IF(Table13232[[#This Row],[Fin]]&lt;&gt;"1st","",Table13232[[#This Row],[Div]]*Table13232[[#This Row],[Nat and Combo Bet]])</f>
        <v/>
      </c>
      <c r="P435" s="135">
        <f>IF(Table13232[[#This Row],[Lev Ret]]="",Table13232[[#This Row],[Nat and Combo Bet]]*-1,O435-N435)</f>
        <v>-150</v>
      </c>
      <c r="Q435" s="50">
        <f t="shared" si="18"/>
        <v>1</v>
      </c>
      <c r="R435" s="50">
        <f>IF(AND(Q434=2,Q435=1),"",IF(Q435=2,(N435+N436)/2,IF(Table13232[[#This Row],[Dual Listing]]=1,Table13232[[#This Row],[Nat and Combo Bet]],11)))</f>
        <v>150</v>
      </c>
      <c r="S435" s="50" t="str">
        <f t="shared" si="19"/>
        <v/>
      </c>
      <c r="T435" s="50">
        <f t="shared" si="20"/>
        <v>-150</v>
      </c>
      <c r="U435" s="50" t="str">
        <f>IF(Table13232[[#This Row],[Date]]&lt;$U$4,"","Live")</f>
        <v/>
      </c>
      <c r="V435" s="45" t="str">
        <f>TEXT(Table13232[[#This Row],[Date]],"DDD")</f>
        <v>Sat</v>
      </c>
      <c r="W435" s="45" t="str">
        <f>PROPER(TRIM(Table13232[[#This Row],[Horse]]))</f>
        <v>Evaporate</v>
      </c>
    </row>
    <row r="436" spans="1:23" x14ac:dyDescent="0.25">
      <c r="A436" s="43">
        <v>45885</v>
      </c>
      <c r="B436" s="44">
        <v>0.69097222222222221</v>
      </c>
      <c r="C436" s="44" t="s">
        <v>34</v>
      </c>
      <c r="D436" s="45">
        <v>8</v>
      </c>
      <c r="E436" s="45">
        <v>1</v>
      </c>
      <c r="F436" s="46" t="s">
        <v>274</v>
      </c>
      <c r="G436" s="46" t="s">
        <v>21</v>
      </c>
      <c r="H436" s="47">
        <v>3.4</v>
      </c>
      <c r="I436" s="52" t="s">
        <v>297</v>
      </c>
      <c r="J436" s="45" t="str">
        <f>VLOOKUP(Table13232[[#This Row],[Track]],$C$836:$E$882,2,FALSE)</f>
        <v>Vic</v>
      </c>
      <c r="K436" s="49">
        <v>100</v>
      </c>
      <c r="L436" s="45">
        <f>IF(Table13232[[#This Row],[Fin]]&lt;&gt;"1st","",Table13232[[#This Row],[Div]]*Table13232[[#This Row],[Lev Bet]])</f>
        <v>340</v>
      </c>
      <c r="M436" s="45">
        <f>IF(Table13232[[#This Row],[Lev Ret]]="",Table13232[[#This Row],[Lev Bet]]*-1,L436-K436)</f>
        <v>240</v>
      </c>
      <c r="N436" s="135">
        <v>160</v>
      </c>
      <c r="O436" s="135">
        <f>IF(Table13232[[#This Row],[Fin]]&lt;&gt;"1st","",Table13232[[#This Row],[Div]]*Table13232[[#This Row],[Nat and Combo Bet]])</f>
        <v>544</v>
      </c>
      <c r="P436" s="135">
        <f>IF(Table13232[[#This Row],[Lev Ret]]="",Table13232[[#This Row],[Nat and Combo Bet]]*-1,O436-N436)</f>
        <v>384</v>
      </c>
      <c r="Q436" s="50">
        <f t="shared" si="18"/>
        <v>1</v>
      </c>
      <c r="R436" s="50">
        <f>IF(AND(Q435=2,Q436=1),"",IF(Q436=2,(N436+N437)/2,IF(Table13232[[#This Row],[Dual Listing]]=1,Table13232[[#This Row],[Nat and Combo Bet]],11)))</f>
        <v>160</v>
      </c>
      <c r="S436" s="50">
        <f t="shared" si="19"/>
        <v>544</v>
      </c>
      <c r="T436" s="50">
        <f t="shared" si="20"/>
        <v>384</v>
      </c>
      <c r="U436" s="50" t="str">
        <f>IF(Table13232[[#This Row],[Date]]&lt;$U$4,"","Live")</f>
        <v/>
      </c>
      <c r="V436" s="45" t="str">
        <f>TEXT(Table13232[[#This Row],[Date]],"DDD")</f>
        <v>Sat</v>
      </c>
      <c r="W436" s="45" t="str">
        <f>PROPER(TRIM(Table13232[[#This Row],[Horse]]))</f>
        <v>Private Eye</v>
      </c>
    </row>
    <row r="437" spans="1:23" x14ac:dyDescent="0.25">
      <c r="A437" s="43">
        <v>45885</v>
      </c>
      <c r="B437" s="44">
        <v>0.71875</v>
      </c>
      <c r="C437" s="44" t="s">
        <v>34</v>
      </c>
      <c r="D437" s="45">
        <v>9</v>
      </c>
      <c r="E437" s="45">
        <v>12</v>
      </c>
      <c r="F437" s="46" t="s">
        <v>455</v>
      </c>
      <c r="G437" s="46" t="s">
        <v>23</v>
      </c>
      <c r="H437" s="47"/>
      <c r="I437" s="52" t="s">
        <v>297</v>
      </c>
      <c r="J437" s="45" t="str">
        <f>VLOOKUP(Table13232[[#This Row],[Track]],$C$836:$E$882,2,FALSE)</f>
        <v>Vic</v>
      </c>
      <c r="K437" s="49">
        <v>100</v>
      </c>
      <c r="L437" s="45" t="str">
        <f>IF(Table13232[[#This Row],[Fin]]&lt;&gt;"1st","",Table13232[[#This Row],[Div]]*Table13232[[#This Row],[Lev Bet]])</f>
        <v/>
      </c>
      <c r="M437" s="45">
        <f>IF(Table13232[[#This Row],[Lev Ret]]="",Table13232[[#This Row],[Lev Bet]]*-1,L437-K437)</f>
        <v>-100</v>
      </c>
      <c r="N437" s="135">
        <v>150</v>
      </c>
      <c r="O437" s="135" t="str">
        <f>IF(Table13232[[#This Row],[Fin]]&lt;&gt;"1st","",Table13232[[#This Row],[Div]]*Table13232[[#This Row],[Nat and Combo Bet]])</f>
        <v/>
      </c>
      <c r="P437" s="135">
        <f>IF(Table13232[[#This Row],[Lev Ret]]="",Table13232[[#This Row],[Nat and Combo Bet]]*-1,O437-N437)</f>
        <v>-150</v>
      </c>
      <c r="Q437" s="50">
        <f t="shared" si="18"/>
        <v>1</v>
      </c>
      <c r="R437" s="50">
        <f>IF(AND(Q436=2,Q437=1),"",IF(Q437=2,(N437+N438)/2,IF(Table13232[[#This Row],[Dual Listing]]=1,Table13232[[#This Row],[Nat and Combo Bet]],11)))</f>
        <v>150</v>
      </c>
      <c r="S437" s="50" t="str">
        <f t="shared" si="19"/>
        <v/>
      </c>
      <c r="T437" s="50">
        <f t="shared" si="20"/>
        <v>-150</v>
      </c>
      <c r="U437" s="50" t="str">
        <f>IF(Table13232[[#This Row],[Date]]&lt;$U$4,"","Live")</f>
        <v/>
      </c>
      <c r="V437" s="45" t="str">
        <f>TEXT(Table13232[[#This Row],[Date]],"DDD")</f>
        <v>Sat</v>
      </c>
      <c r="W437" s="45" t="str">
        <f>PROPER(TRIM(Table13232[[#This Row],[Horse]]))</f>
        <v>Too Darn Discreet</v>
      </c>
    </row>
    <row r="438" spans="1:23" x14ac:dyDescent="0.25">
      <c r="A438" s="43">
        <v>45892</v>
      </c>
      <c r="B438" s="44">
        <v>0.55902777777777779</v>
      </c>
      <c r="C438" s="44" t="s">
        <v>13</v>
      </c>
      <c r="D438" s="45">
        <v>4</v>
      </c>
      <c r="E438" s="45">
        <v>2</v>
      </c>
      <c r="F438" s="46" t="s">
        <v>183</v>
      </c>
      <c r="G438" s="46" t="s">
        <v>21</v>
      </c>
      <c r="H438" s="47">
        <v>3.9</v>
      </c>
      <c r="I438" s="52" t="s">
        <v>297</v>
      </c>
      <c r="J438" s="45" t="str">
        <f>VLOOKUP(Table13232[[#This Row],[Track]],$C$836:$E$882,2,FALSE)</f>
        <v>NSW</v>
      </c>
      <c r="K438" s="49">
        <v>100</v>
      </c>
      <c r="L438" s="45">
        <f>IF(Table13232[[#This Row],[Fin]]&lt;&gt;"1st","",Table13232[[#This Row],[Div]]*Table13232[[#This Row],[Lev Bet]])</f>
        <v>390</v>
      </c>
      <c r="M438" s="45">
        <f>IF(Table13232[[#This Row],[Lev Ret]]="",Table13232[[#This Row],[Lev Bet]]*-1,L438-K438)</f>
        <v>290</v>
      </c>
      <c r="N438" s="135">
        <v>150</v>
      </c>
      <c r="O438" s="135">
        <f>IF(Table13232[[#This Row],[Fin]]&lt;&gt;"1st","",Table13232[[#This Row],[Div]]*Table13232[[#This Row],[Nat and Combo Bet]])</f>
        <v>585</v>
      </c>
      <c r="P438" s="135">
        <f>IF(Table13232[[#This Row],[Lev Ret]]="",Table13232[[#This Row],[Nat and Combo Bet]]*-1,O438-N438)</f>
        <v>435</v>
      </c>
      <c r="Q438" s="50">
        <f t="shared" si="18"/>
        <v>1</v>
      </c>
      <c r="R438" s="50">
        <f>IF(AND(Q437=2,Q438=1),"",IF(Q438=2,(N438+N439)/2,IF(Table13232[[#This Row],[Dual Listing]]=1,Table13232[[#This Row],[Nat and Combo Bet]],11)))</f>
        <v>150</v>
      </c>
      <c r="S438" s="50">
        <f t="shared" si="19"/>
        <v>585</v>
      </c>
      <c r="T438" s="50">
        <f t="shared" si="20"/>
        <v>435</v>
      </c>
      <c r="U438" s="50" t="str">
        <f>IF(Table13232[[#This Row],[Date]]&lt;$U$4,"","Live")</f>
        <v/>
      </c>
      <c r="V438" s="45" t="str">
        <f>TEXT(Table13232[[#This Row],[Date]],"DDD")</f>
        <v>Sat</v>
      </c>
      <c r="W438" s="45" t="str">
        <f>PROPER(TRIM(Table13232[[#This Row],[Horse]]))</f>
        <v>Kerguelen</v>
      </c>
    </row>
    <row r="439" spans="1:23" x14ac:dyDescent="0.25">
      <c r="A439" s="43">
        <v>45892</v>
      </c>
      <c r="B439" s="44">
        <v>0.58333333333333337</v>
      </c>
      <c r="C439" s="44" t="s">
        <v>13</v>
      </c>
      <c r="D439" s="45">
        <v>5</v>
      </c>
      <c r="E439" s="45">
        <v>7</v>
      </c>
      <c r="F439" s="46" t="s">
        <v>216</v>
      </c>
      <c r="G439" s="46" t="s">
        <v>21</v>
      </c>
      <c r="H439" s="47">
        <v>5.5</v>
      </c>
      <c r="I439" s="52" t="s">
        <v>297</v>
      </c>
      <c r="J439" s="45" t="str">
        <f>VLOOKUP(Table13232[[#This Row],[Track]],$C$836:$E$882,2,FALSE)</f>
        <v>NSW</v>
      </c>
      <c r="K439" s="49">
        <v>100</v>
      </c>
      <c r="L439" s="45">
        <f>IF(Table13232[[#This Row],[Fin]]&lt;&gt;"1st","",Table13232[[#This Row],[Div]]*Table13232[[#This Row],[Lev Bet]])</f>
        <v>550</v>
      </c>
      <c r="M439" s="45">
        <f>IF(Table13232[[#This Row],[Lev Ret]]="",Table13232[[#This Row],[Lev Bet]]*-1,L439-K439)</f>
        <v>450</v>
      </c>
      <c r="N439" s="135">
        <v>100</v>
      </c>
      <c r="O439" s="135">
        <f>IF(Table13232[[#This Row],[Fin]]&lt;&gt;"1st","",Table13232[[#This Row],[Div]]*Table13232[[#This Row],[Nat and Combo Bet]])</f>
        <v>550</v>
      </c>
      <c r="P439" s="135">
        <f>IF(Table13232[[#This Row],[Lev Ret]]="",Table13232[[#This Row],[Nat and Combo Bet]]*-1,O439-N439)</f>
        <v>450</v>
      </c>
      <c r="Q439" s="50">
        <f t="shared" si="18"/>
        <v>1</v>
      </c>
      <c r="R439" s="50">
        <f>IF(AND(Q438=2,Q439=1),"",IF(Q439=2,(N439+N440)/2,IF(Table13232[[#This Row],[Dual Listing]]=1,Table13232[[#This Row],[Nat and Combo Bet]],11)))</f>
        <v>100</v>
      </c>
      <c r="S439" s="50">
        <f t="shared" si="19"/>
        <v>550</v>
      </c>
      <c r="T439" s="50">
        <f t="shared" si="20"/>
        <v>450</v>
      </c>
      <c r="U439" s="50" t="str">
        <f>IF(Table13232[[#This Row],[Date]]&lt;$U$4,"","Live")</f>
        <v/>
      </c>
      <c r="V439" s="45" t="str">
        <f>TEXT(Table13232[[#This Row],[Date]],"DDD")</f>
        <v>Sat</v>
      </c>
      <c r="W439" s="45" t="str">
        <f>PROPER(TRIM(Table13232[[#This Row],[Horse]]))</f>
        <v>Nellie Leylax</v>
      </c>
    </row>
    <row r="440" spans="1:23" x14ac:dyDescent="0.25">
      <c r="A440" s="43">
        <v>45892</v>
      </c>
      <c r="B440" s="44">
        <v>0.6875</v>
      </c>
      <c r="C440" s="44" t="s">
        <v>13</v>
      </c>
      <c r="D440" s="45">
        <v>9</v>
      </c>
      <c r="E440" s="45">
        <v>12</v>
      </c>
      <c r="F440" s="46" t="s">
        <v>456</v>
      </c>
      <c r="G440" s="46"/>
      <c r="H440" s="47"/>
      <c r="I440" s="52" t="s">
        <v>297</v>
      </c>
      <c r="J440" s="45" t="str">
        <f>VLOOKUP(Table13232[[#This Row],[Track]],$C$836:$E$882,2,FALSE)</f>
        <v>NSW</v>
      </c>
      <c r="K440" s="49">
        <v>100</v>
      </c>
      <c r="L440" s="45" t="str">
        <f>IF(Table13232[[#This Row],[Fin]]&lt;&gt;"1st","",Table13232[[#This Row],[Div]]*Table13232[[#This Row],[Lev Bet]])</f>
        <v/>
      </c>
      <c r="M440" s="45">
        <f>IF(Table13232[[#This Row],[Lev Ret]]="",Table13232[[#This Row],[Lev Bet]]*-1,L440-K440)</f>
        <v>-100</v>
      </c>
      <c r="N440" s="135">
        <v>100</v>
      </c>
      <c r="O440" s="135" t="str">
        <f>IF(Table13232[[#This Row],[Fin]]&lt;&gt;"1st","",Table13232[[#This Row],[Div]]*Table13232[[#This Row],[Nat and Combo Bet]])</f>
        <v/>
      </c>
      <c r="P440" s="135">
        <f>IF(Table13232[[#This Row],[Lev Ret]]="",Table13232[[#This Row],[Nat and Combo Bet]]*-1,O440-N440)</f>
        <v>-100</v>
      </c>
      <c r="Q440" s="50">
        <f t="shared" si="18"/>
        <v>1</v>
      </c>
      <c r="R440" s="50">
        <f>IF(AND(Q439=2,Q440=1),"",IF(Q440=2,(N440+N441)/2,IF(Table13232[[#This Row],[Dual Listing]]=1,Table13232[[#This Row],[Nat and Combo Bet]],11)))</f>
        <v>100</v>
      </c>
      <c r="S440" s="50" t="str">
        <f t="shared" si="19"/>
        <v/>
      </c>
      <c r="T440" s="50">
        <f t="shared" si="20"/>
        <v>-100</v>
      </c>
      <c r="U440" s="50" t="str">
        <f>IF(Table13232[[#This Row],[Date]]&lt;$U$4,"","Live")</f>
        <v/>
      </c>
      <c r="V440" s="45" t="str">
        <f>TEXT(Table13232[[#This Row],[Date]],"DDD")</f>
        <v>Sat</v>
      </c>
      <c r="W440" s="45" t="str">
        <f>PROPER(TRIM(Table13232[[#This Row],[Horse]]))</f>
        <v>Just Feelin' Lucky</v>
      </c>
    </row>
    <row r="441" spans="1:23" x14ac:dyDescent="0.25">
      <c r="A441" s="43">
        <v>45892</v>
      </c>
      <c r="B441" s="44">
        <v>0.71875</v>
      </c>
      <c r="C441" s="44" t="s">
        <v>36</v>
      </c>
      <c r="D441" s="45">
        <v>8</v>
      </c>
      <c r="E441" s="45">
        <v>3</v>
      </c>
      <c r="F441" s="46" t="s">
        <v>457</v>
      </c>
      <c r="G441" s="46" t="s">
        <v>23</v>
      </c>
      <c r="H441" s="47"/>
      <c r="I441" s="52" t="s">
        <v>297</v>
      </c>
      <c r="J441" s="45" t="str">
        <f>VLOOKUP(Table13232[[#This Row],[Track]],$C$836:$E$882,2,FALSE)</f>
        <v>Vic</v>
      </c>
      <c r="K441" s="49">
        <v>100</v>
      </c>
      <c r="L441" s="45" t="str">
        <f>IF(Table13232[[#This Row],[Fin]]&lt;&gt;"1st","",Table13232[[#This Row],[Div]]*Table13232[[#This Row],[Lev Bet]])</f>
        <v/>
      </c>
      <c r="M441" s="45">
        <f>IF(Table13232[[#This Row],[Lev Ret]]="",Table13232[[#This Row],[Lev Bet]]*-1,L441-K441)</f>
        <v>-100</v>
      </c>
      <c r="N441" s="135">
        <v>150</v>
      </c>
      <c r="O441" s="135" t="str">
        <f>IF(Table13232[[#This Row],[Fin]]&lt;&gt;"1st","",Table13232[[#This Row],[Div]]*Table13232[[#This Row],[Nat and Combo Bet]])</f>
        <v/>
      </c>
      <c r="P441" s="135">
        <f>IF(Table13232[[#This Row],[Lev Ret]]="",Table13232[[#This Row],[Nat and Combo Bet]]*-1,O441-N441)</f>
        <v>-150</v>
      </c>
      <c r="Q441" s="50">
        <f t="shared" si="18"/>
        <v>1</v>
      </c>
      <c r="R441" s="50">
        <f>IF(AND(Q440=2,Q441=1),"",IF(Q441=2,(N441+N442)/2,IF(Table13232[[#This Row],[Dual Listing]]=1,Table13232[[#This Row],[Nat and Combo Bet]],11)))</f>
        <v>150</v>
      </c>
      <c r="S441" s="50" t="str">
        <f t="shared" si="19"/>
        <v/>
      </c>
      <c r="T441" s="50">
        <f t="shared" si="20"/>
        <v>-150</v>
      </c>
      <c r="U441" s="50" t="str">
        <f>IF(Table13232[[#This Row],[Date]]&lt;$U$4,"","Live")</f>
        <v/>
      </c>
      <c r="V441" s="45" t="str">
        <f>TEXT(Table13232[[#This Row],[Date]],"DDD")</f>
        <v>Sat</v>
      </c>
      <c r="W441" s="45" t="str">
        <f>PROPER(TRIM(Table13232[[#This Row],[Horse]]))</f>
        <v>Globe</v>
      </c>
    </row>
    <row r="442" spans="1:23" x14ac:dyDescent="0.25">
      <c r="A442" s="43">
        <v>45892</v>
      </c>
      <c r="B442" s="44">
        <v>0.71875</v>
      </c>
      <c r="C442" s="44" t="s">
        <v>36</v>
      </c>
      <c r="D442" s="45">
        <v>8</v>
      </c>
      <c r="E442" s="45">
        <v>12</v>
      </c>
      <c r="F442" s="46" t="s">
        <v>223</v>
      </c>
      <c r="G442" s="46" t="s">
        <v>21</v>
      </c>
      <c r="H442" s="47">
        <v>4.8</v>
      </c>
      <c r="I442" s="47" t="s">
        <v>298</v>
      </c>
      <c r="J442" s="45" t="str">
        <f>VLOOKUP(Table13232[[#This Row],[Track]],$C$836:$E$882,2,FALSE)</f>
        <v>Vic</v>
      </c>
      <c r="K442" s="49">
        <v>100</v>
      </c>
      <c r="L442" s="45">
        <f>IF(Table13232[[#This Row],[Fin]]&lt;&gt;"1st","",Table13232[[#This Row],[Div]]*Table13232[[#This Row],[Lev Bet]])</f>
        <v>480</v>
      </c>
      <c r="M442" s="45">
        <f>IF(Table13232[[#This Row],[Lev Ret]]="",Table13232[[#This Row],[Lev Bet]]*-1,L442-K442)</f>
        <v>380</v>
      </c>
      <c r="N442" s="135">
        <v>100</v>
      </c>
      <c r="O442" s="135">
        <f>IF(Table13232[[#This Row],[Fin]]&lt;&gt;"1st","",Table13232[[#This Row],[Div]]*Table13232[[#This Row],[Nat and Combo Bet]])</f>
        <v>480</v>
      </c>
      <c r="P442" s="135">
        <f>IF(Table13232[[#This Row],[Lev Ret]]="",Table13232[[#This Row],[Nat and Combo Bet]]*-1,O442-N442)</f>
        <v>380</v>
      </c>
      <c r="Q442" s="50">
        <f t="shared" si="18"/>
        <v>1</v>
      </c>
      <c r="R442" s="50">
        <f>IF(AND(Q441=2,Q442=1),"",IF(Q442=2,(N442+N443)/2,IF(Table13232[[#This Row],[Dual Listing]]=1,Table13232[[#This Row],[Nat and Combo Bet]],11)))</f>
        <v>100</v>
      </c>
      <c r="S442" s="50">
        <f t="shared" si="19"/>
        <v>480</v>
      </c>
      <c r="T442" s="50">
        <f t="shared" si="20"/>
        <v>380</v>
      </c>
      <c r="U442" s="50" t="str">
        <f>IF(Table13232[[#This Row],[Date]]&lt;$U$4,"","Live")</f>
        <v/>
      </c>
      <c r="V442" s="45" t="str">
        <f>TEXT(Table13232[[#This Row],[Date]],"DDD")</f>
        <v>Sat</v>
      </c>
      <c r="W442" s="45" t="str">
        <f>PROPER(TRIM(Table13232[[#This Row],[Horse]]))</f>
        <v>Hard To Cross</v>
      </c>
    </row>
    <row r="443" spans="1:23" x14ac:dyDescent="0.25">
      <c r="A443" s="43">
        <v>45892</v>
      </c>
      <c r="B443" s="44">
        <v>0.73958333333333337</v>
      </c>
      <c r="C443" s="44" t="s">
        <v>36</v>
      </c>
      <c r="D443" s="45">
        <v>9</v>
      </c>
      <c r="E443" s="45">
        <v>6</v>
      </c>
      <c r="F443" s="46" t="s">
        <v>224</v>
      </c>
      <c r="G443" s="46"/>
      <c r="H443" s="47"/>
      <c r="I443" s="47" t="s">
        <v>298</v>
      </c>
      <c r="J443" s="45" t="str">
        <f>VLOOKUP(Table13232[[#This Row],[Track]],$C$836:$E$882,2,FALSE)</f>
        <v>Vic</v>
      </c>
      <c r="K443" s="49">
        <v>100</v>
      </c>
      <c r="L443" s="45" t="str">
        <f>IF(Table13232[[#This Row],[Fin]]&lt;&gt;"1st","",Table13232[[#This Row],[Div]]*Table13232[[#This Row],[Lev Bet]])</f>
        <v/>
      </c>
      <c r="M443" s="45">
        <f>IF(Table13232[[#This Row],[Lev Ret]]="",Table13232[[#This Row],[Lev Bet]]*-1,L443-K443)</f>
        <v>-100</v>
      </c>
      <c r="N443" s="135">
        <v>100</v>
      </c>
      <c r="O443" s="135" t="str">
        <f>IF(Table13232[[#This Row],[Fin]]&lt;&gt;"1st","",Table13232[[#This Row],[Div]]*Table13232[[#This Row],[Nat and Combo Bet]])</f>
        <v/>
      </c>
      <c r="P443" s="135">
        <f>IF(Table13232[[#This Row],[Lev Ret]]="",Table13232[[#This Row],[Nat and Combo Bet]]*-1,O443-N443)</f>
        <v>-100</v>
      </c>
      <c r="Q443" s="50">
        <f t="shared" si="18"/>
        <v>1</v>
      </c>
      <c r="R443" s="50">
        <f>IF(AND(Q442=2,Q443=1),"",IF(Q443=2,(N443+N444)/2,IF(Table13232[[#This Row],[Dual Listing]]=1,Table13232[[#This Row],[Nat and Combo Bet]],11)))</f>
        <v>100</v>
      </c>
      <c r="S443" s="50" t="str">
        <f t="shared" si="19"/>
        <v/>
      </c>
      <c r="T443" s="50">
        <f t="shared" si="20"/>
        <v>-100</v>
      </c>
      <c r="U443" s="50" t="str">
        <f>IF(Table13232[[#This Row],[Date]]&lt;$U$4,"","Live")</f>
        <v/>
      </c>
      <c r="V443" s="45" t="str">
        <f>TEXT(Table13232[[#This Row],[Date]],"DDD")</f>
        <v>Sat</v>
      </c>
      <c r="W443" s="45" t="str">
        <f>PROPER(TRIM(Table13232[[#This Row],[Horse]]))</f>
        <v>De Bergerac</v>
      </c>
    </row>
    <row r="444" spans="1:23" x14ac:dyDescent="0.25">
      <c r="A444" s="43">
        <v>45899</v>
      </c>
      <c r="B444" s="44">
        <v>0.49513888888888891</v>
      </c>
      <c r="C444" s="44" t="s">
        <v>12</v>
      </c>
      <c r="D444" s="45">
        <v>1</v>
      </c>
      <c r="E444" s="45">
        <v>8</v>
      </c>
      <c r="F444" s="46" t="s">
        <v>225</v>
      </c>
      <c r="G444" s="46"/>
      <c r="H444" s="47"/>
      <c r="I444" s="47" t="s">
        <v>298</v>
      </c>
      <c r="J444" s="45" t="str">
        <f>VLOOKUP(Table13232[[#This Row],[Track]],$C$836:$E$882,2,FALSE)</f>
        <v>Qld</v>
      </c>
      <c r="K444" s="49">
        <v>100</v>
      </c>
      <c r="L444" s="45" t="str">
        <f>IF(Table13232[[#This Row],[Fin]]&lt;&gt;"1st","",Table13232[[#This Row],[Div]]*Table13232[[#This Row],[Lev Bet]])</f>
        <v/>
      </c>
      <c r="M444" s="45">
        <f>IF(Table13232[[#This Row],[Lev Ret]]="",Table13232[[#This Row],[Lev Bet]]*-1,L444-K444)</f>
        <v>-100</v>
      </c>
      <c r="N444" s="135">
        <v>100</v>
      </c>
      <c r="O444" s="135" t="str">
        <f>IF(Table13232[[#This Row],[Fin]]&lt;&gt;"1st","",Table13232[[#This Row],[Div]]*Table13232[[#This Row],[Nat and Combo Bet]])</f>
        <v/>
      </c>
      <c r="P444" s="135">
        <f>IF(Table13232[[#This Row],[Lev Ret]]="",Table13232[[#This Row],[Nat and Combo Bet]]*-1,O444-N444)</f>
        <v>-100</v>
      </c>
      <c r="Q444" s="50">
        <f t="shared" si="18"/>
        <v>1</v>
      </c>
      <c r="R444" s="50">
        <f>IF(AND(Q443=2,Q444=1),"",IF(Q444=2,(N444+N445)/2,IF(Table13232[[#This Row],[Dual Listing]]=1,Table13232[[#This Row],[Nat and Combo Bet]],11)))</f>
        <v>100</v>
      </c>
      <c r="S444" s="50" t="str">
        <f t="shared" si="19"/>
        <v/>
      </c>
      <c r="T444" s="50">
        <f t="shared" si="20"/>
        <v>-100</v>
      </c>
      <c r="U444" s="50" t="str">
        <f>IF(Table13232[[#This Row],[Date]]&lt;$U$4,"","Live")</f>
        <v/>
      </c>
      <c r="V444" s="45" t="str">
        <f>TEXT(Table13232[[#This Row],[Date]],"DDD")</f>
        <v>Sat</v>
      </c>
      <c r="W444" s="45" t="str">
        <f>PROPER(TRIM(Table13232[[#This Row],[Horse]]))</f>
        <v>Vindicta</v>
      </c>
    </row>
    <row r="445" spans="1:23" x14ac:dyDescent="0.25">
      <c r="A445" s="43">
        <v>45899</v>
      </c>
      <c r="B445" s="44">
        <v>0.51944444444444449</v>
      </c>
      <c r="C445" s="44" t="s">
        <v>12</v>
      </c>
      <c r="D445" s="45">
        <v>2</v>
      </c>
      <c r="E445" s="45">
        <v>2</v>
      </c>
      <c r="F445" s="46" t="s">
        <v>153</v>
      </c>
      <c r="G445" s="46" t="s">
        <v>21</v>
      </c>
      <c r="H445" s="47">
        <v>3.5</v>
      </c>
      <c r="I445" s="47" t="s">
        <v>298</v>
      </c>
      <c r="J445" s="45" t="str">
        <f>VLOOKUP(Table13232[[#This Row],[Track]],$C$836:$E$882,2,FALSE)</f>
        <v>Qld</v>
      </c>
      <c r="K445" s="49">
        <v>100</v>
      </c>
      <c r="L445" s="45">
        <f>IF(Table13232[[#This Row],[Fin]]&lt;&gt;"1st","",Table13232[[#This Row],[Div]]*Table13232[[#This Row],[Lev Bet]])</f>
        <v>350</v>
      </c>
      <c r="M445" s="45">
        <f>IF(Table13232[[#This Row],[Lev Ret]]="",Table13232[[#This Row],[Lev Bet]]*-1,L445-K445)</f>
        <v>250</v>
      </c>
      <c r="N445" s="135">
        <v>100</v>
      </c>
      <c r="O445" s="135">
        <f>IF(Table13232[[#This Row],[Fin]]&lt;&gt;"1st","",Table13232[[#This Row],[Div]]*Table13232[[#This Row],[Nat and Combo Bet]])</f>
        <v>350</v>
      </c>
      <c r="P445" s="135">
        <f>IF(Table13232[[#This Row],[Lev Ret]]="",Table13232[[#This Row],[Nat and Combo Bet]]*-1,O445-N445)</f>
        <v>250</v>
      </c>
      <c r="Q445" s="50">
        <f t="shared" si="18"/>
        <v>1</v>
      </c>
      <c r="R445" s="50">
        <f>IF(AND(Q444=2,Q445=1),"",IF(Q445=2,(N445+N446)/2,IF(Table13232[[#This Row],[Dual Listing]]=1,Table13232[[#This Row],[Nat and Combo Bet]],11)))</f>
        <v>100</v>
      </c>
      <c r="S445" s="50">
        <f t="shared" si="19"/>
        <v>350</v>
      </c>
      <c r="T445" s="50">
        <f t="shared" si="20"/>
        <v>250</v>
      </c>
      <c r="U445" s="50" t="str">
        <f>IF(Table13232[[#This Row],[Date]]&lt;$U$4,"","Live")</f>
        <v/>
      </c>
      <c r="V445" s="45" t="str">
        <f>TEXT(Table13232[[#This Row],[Date]],"DDD")</f>
        <v>Sat</v>
      </c>
      <c r="W445" s="45" t="str">
        <f>PROPER(TRIM(Table13232[[#This Row],[Horse]]))</f>
        <v>The Right Way</v>
      </c>
    </row>
    <row r="446" spans="1:23" x14ac:dyDescent="0.25">
      <c r="A446" s="43">
        <v>45899</v>
      </c>
      <c r="B446" s="44">
        <v>0.53819444444444442</v>
      </c>
      <c r="C446" s="44" t="s">
        <v>11</v>
      </c>
      <c r="D446" s="45">
        <v>3</v>
      </c>
      <c r="E446" s="45">
        <v>8</v>
      </c>
      <c r="F446" s="46" t="s">
        <v>458</v>
      </c>
      <c r="G446" s="46"/>
      <c r="H446" s="47"/>
      <c r="I446" s="52" t="s">
        <v>297</v>
      </c>
      <c r="J446" s="45" t="str">
        <f>VLOOKUP(Table13232[[#This Row],[Track]],$C$836:$E$882,2,FALSE)</f>
        <v>NSW</v>
      </c>
      <c r="K446" s="49">
        <v>100</v>
      </c>
      <c r="L446" s="45" t="str">
        <f>IF(Table13232[[#This Row],[Fin]]&lt;&gt;"1st","",Table13232[[#This Row],[Div]]*Table13232[[#This Row],[Lev Bet]])</f>
        <v/>
      </c>
      <c r="M446" s="45">
        <f>IF(Table13232[[#This Row],[Lev Ret]]="",Table13232[[#This Row],[Lev Bet]]*-1,L446-K446)</f>
        <v>-100</v>
      </c>
      <c r="N446" s="135">
        <v>200</v>
      </c>
      <c r="O446" s="135" t="str">
        <f>IF(Table13232[[#This Row],[Fin]]&lt;&gt;"1st","",Table13232[[#This Row],[Div]]*Table13232[[#This Row],[Nat and Combo Bet]])</f>
        <v/>
      </c>
      <c r="P446" s="135">
        <f>IF(Table13232[[#This Row],[Lev Ret]]="",Table13232[[#This Row],[Nat and Combo Bet]]*-1,O446-N446)</f>
        <v>-200</v>
      </c>
      <c r="Q446" s="50">
        <f t="shared" si="18"/>
        <v>1</v>
      </c>
      <c r="R446" s="50">
        <f>IF(AND(Q445=2,Q446=1),"",IF(Q446=2,(N446+N447)/2,IF(Table13232[[#This Row],[Dual Listing]]=1,Table13232[[#This Row],[Nat and Combo Bet]],11)))</f>
        <v>200</v>
      </c>
      <c r="S446" s="50" t="str">
        <f t="shared" si="19"/>
        <v/>
      </c>
      <c r="T446" s="50">
        <f t="shared" si="20"/>
        <v>-200</v>
      </c>
      <c r="U446" s="50" t="str">
        <f>IF(Table13232[[#This Row],[Date]]&lt;$U$4,"","Live")</f>
        <v/>
      </c>
      <c r="V446" s="45" t="str">
        <f>TEXT(Table13232[[#This Row],[Date]],"DDD")</f>
        <v>Sat</v>
      </c>
      <c r="W446" s="45" t="str">
        <f>PROPER(TRIM(Table13232[[#This Row],[Horse]]))</f>
        <v>Sister Daae</v>
      </c>
    </row>
    <row r="447" spans="1:23" x14ac:dyDescent="0.25">
      <c r="A447" s="43">
        <v>45899</v>
      </c>
      <c r="B447" s="44">
        <v>0.54374999999999996</v>
      </c>
      <c r="C447" s="44" t="s">
        <v>12</v>
      </c>
      <c r="D447" s="45">
        <v>3</v>
      </c>
      <c r="E447" s="45">
        <v>8</v>
      </c>
      <c r="F447" s="46" t="s">
        <v>226</v>
      </c>
      <c r="G447" s="46" t="s">
        <v>23</v>
      </c>
      <c r="H447" s="47"/>
      <c r="I447" s="47" t="s">
        <v>298</v>
      </c>
      <c r="J447" s="45" t="str">
        <f>VLOOKUP(Table13232[[#This Row],[Track]],$C$836:$E$882,2,FALSE)</f>
        <v>Qld</v>
      </c>
      <c r="K447" s="49">
        <v>100</v>
      </c>
      <c r="L447" s="45" t="str">
        <f>IF(Table13232[[#This Row],[Fin]]&lt;&gt;"1st","",Table13232[[#This Row],[Div]]*Table13232[[#This Row],[Lev Bet]])</f>
        <v/>
      </c>
      <c r="M447" s="45">
        <f>IF(Table13232[[#This Row],[Lev Ret]]="",Table13232[[#This Row],[Lev Bet]]*-1,L447-K447)</f>
        <v>-100</v>
      </c>
      <c r="N447" s="135">
        <v>100</v>
      </c>
      <c r="O447" s="135" t="str">
        <f>IF(Table13232[[#This Row],[Fin]]&lt;&gt;"1st","",Table13232[[#This Row],[Div]]*Table13232[[#This Row],[Nat and Combo Bet]])</f>
        <v/>
      </c>
      <c r="P447" s="135">
        <f>IF(Table13232[[#This Row],[Lev Ret]]="",Table13232[[#This Row],[Nat and Combo Bet]]*-1,O447-N447)</f>
        <v>-100</v>
      </c>
      <c r="Q447" s="50">
        <f t="shared" si="18"/>
        <v>1</v>
      </c>
      <c r="R447" s="50">
        <f>IF(AND(Q446=2,Q447=1),"",IF(Q447=2,(N447+N448)/2,IF(Table13232[[#This Row],[Dual Listing]]=1,Table13232[[#This Row],[Nat and Combo Bet]],11)))</f>
        <v>100</v>
      </c>
      <c r="S447" s="50" t="str">
        <f t="shared" si="19"/>
        <v/>
      </c>
      <c r="T447" s="50">
        <f t="shared" si="20"/>
        <v>-100</v>
      </c>
      <c r="U447" s="50" t="str">
        <f>IF(Table13232[[#This Row],[Date]]&lt;$U$4,"","Live")</f>
        <v/>
      </c>
      <c r="V447" s="45" t="str">
        <f>TEXT(Table13232[[#This Row],[Date]],"DDD")</f>
        <v>Sat</v>
      </c>
      <c r="W447" s="45" t="str">
        <f>PROPER(TRIM(Table13232[[#This Row],[Horse]]))</f>
        <v>Moon Sweeper</v>
      </c>
    </row>
    <row r="448" spans="1:23" x14ac:dyDescent="0.25">
      <c r="A448" s="43">
        <v>45899</v>
      </c>
      <c r="B448" s="44">
        <v>0.54861111111111116</v>
      </c>
      <c r="C448" s="44" t="s">
        <v>34</v>
      </c>
      <c r="D448" s="45">
        <v>3</v>
      </c>
      <c r="E448" s="45">
        <v>9</v>
      </c>
      <c r="F448" s="46" t="s">
        <v>193</v>
      </c>
      <c r="G448" s="46"/>
      <c r="H448" s="47"/>
      <c r="I448" s="52" t="s">
        <v>297</v>
      </c>
      <c r="J448" s="45" t="str">
        <f>VLOOKUP(Table13232[[#This Row],[Track]],$C$836:$E$882,2,FALSE)</f>
        <v>Vic</v>
      </c>
      <c r="K448" s="49">
        <v>100</v>
      </c>
      <c r="L448" s="45" t="str">
        <f>IF(Table13232[[#This Row],[Fin]]&lt;&gt;"1st","",Table13232[[#This Row],[Div]]*Table13232[[#This Row],[Lev Bet]])</f>
        <v/>
      </c>
      <c r="M448" s="45">
        <f>IF(Table13232[[#This Row],[Lev Ret]]="",Table13232[[#This Row],[Lev Bet]]*-1,L448-K448)</f>
        <v>-100</v>
      </c>
      <c r="N448" s="135">
        <v>100</v>
      </c>
      <c r="O448" s="135" t="str">
        <f>IF(Table13232[[#This Row],[Fin]]&lt;&gt;"1st","",Table13232[[#This Row],[Div]]*Table13232[[#This Row],[Nat and Combo Bet]])</f>
        <v/>
      </c>
      <c r="P448" s="135">
        <f>IF(Table13232[[#This Row],[Lev Ret]]="",Table13232[[#This Row],[Nat and Combo Bet]]*-1,O448-N448)</f>
        <v>-100</v>
      </c>
      <c r="Q448" s="50">
        <f t="shared" si="18"/>
        <v>1</v>
      </c>
      <c r="R448" s="50">
        <f>IF(AND(Q447=2,Q448=1),"",IF(Q448=2,(N448+N449)/2,IF(Table13232[[#This Row],[Dual Listing]]=1,Table13232[[#This Row],[Nat and Combo Bet]],11)))</f>
        <v>100</v>
      </c>
      <c r="S448" s="50" t="str">
        <f t="shared" si="19"/>
        <v/>
      </c>
      <c r="T448" s="50">
        <f t="shared" si="20"/>
        <v>-100</v>
      </c>
      <c r="U448" s="50" t="str">
        <f>IF(Table13232[[#This Row],[Date]]&lt;$U$4,"","Live")</f>
        <v/>
      </c>
      <c r="V448" s="45" t="str">
        <f>TEXT(Table13232[[#This Row],[Date]],"DDD")</f>
        <v>Sat</v>
      </c>
      <c r="W448" s="45" t="str">
        <f>PROPER(TRIM(Table13232[[#This Row],[Horse]]))</f>
        <v>Stylish</v>
      </c>
    </row>
    <row r="449" spans="1:23" x14ac:dyDescent="0.25">
      <c r="A449" s="43">
        <v>45899</v>
      </c>
      <c r="B449" s="44">
        <v>0.54861111111111116</v>
      </c>
      <c r="C449" s="44" t="s">
        <v>34</v>
      </c>
      <c r="D449" s="45">
        <v>3</v>
      </c>
      <c r="E449" s="45">
        <v>6</v>
      </c>
      <c r="F449" s="46" t="s">
        <v>459</v>
      </c>
      <c r="G449" s="46"/>
      <c r="H449" s="47"/>
      <c r="I449" s="52" t="s">
        <v>297</v>
      </c>
      <c r="J449" s="45" t="str">
        <f>VLOOKUP(Table13232[[#This Row],[Track]],$C$836:$E$882,2,FALSE)</f>
        <v>Vic</v>
      </c>
      <c r="K449" s="49">
        <v>100</v>
      </c>
      <c r="L449" s="45" t="str">
        <f>IF(Table13232[[#This Row],[Fin]]&lt;&gt;"1st","",Table13232[[#This Row],[Div]]*Table13232[[#This Row],[Lev Bet]])</f>
        <v/>
      </c>
      <c r="M449" s="45">
        <f>IF(Table13232[[#This Row],[Lev Ret]]="",Table13232[[#This Row],[Lev Bet]]*-1,L449-K449)</f>
        <v>-100</v>
      </c>
      <c r="N449" s="135">
        <v>50</v>
      </c>
      <c r="O449" s="135" t="str">
        <f>IF(Table13232[[#This Row],[Fin]]&lt;&gt;"1st","",Table13232[[#This Row],[Div]]*Table13232[[#This Row],[Nat and Combo Bet]])</f>
        <v/>
      </c>
      <c r="P449" s="135">
        <f>IF(Table13232[[#This Row],[Lev Ret]]="",Table13232[[#This Row],[Nat and Combo Bet]]*-1,O449-N449)</f>
        <v>-50</v>
      </c>
      <c r="Q449" s="50">
        <f t="shared" si="18"/>
        <v>1</v>
      </c>
      <c r="R449" s="50">
        <f>IF(AND(Q448=2,Q449=1),"",IF(Q449=2,(N449+N450)/2,IF(Table13232[[#This Row],[Dual Listing]]=1,Table13232[[#This Row],[Nat and Combo Bet]],11)))</f>
        <v>50</v>
      </c>
      <c r="S449" s="50" t="str">
        <f t="shared" si="19"/>
        <v/>
      </c>
      <c r="T449" s="50">
        <f t="shared" si="20"/>
        <v>-50</v>
      </c>
      <c r="U449" s="50" t="str">
        <f>IF(Table13232[[#This Row],[Date]]&lt;$U$4,"","Live")</f>
        <v/>
      </c>
      <c r="V449" s="45" t="str">
        <f>TEXT(Table13232[[#This Row],[Date]],"DDD")</f>
        <v>Sat</v>
      </c>
      <c r="W449" s="45" t="str">
        <f>PROPER(TRIM(Table13232[[#This Row],[Horse]]))</f>
        <v>Yoshinobu</v>
      </c>
    </row>
    <row r="450" spans="1:23" x14ac:dyDescent="0.25">
      <c r="A450" s="43">
        <v>45899</v>
      </c>
      <c r="B450" s="44">
        <v>0.5625</v>
      </c>
      <c r="C450" s="44" t="s">
        <v>11</v>
      </c>
      <c r="D450" s="45">
        <v>4</v>
      </c>
      <c r="E450" s="45">
        <v>4</v>
      </c>
      <c r="F450" s="46" t="s">
        <v>49</v>
      </c>
      <c r="G450" s="46" t="s">
        <v>22</v>
      </c>
      <c r="H450" s="47"/>
      <c r="I450" s="52" t="s">
        <v>297</v>
      </c>
      <c r="J450" s="45" t="str">
        <f>VLOOKUP(Table13232[[#This Row],[Track]],$C$836:$E$882,2,FALSE)</f>
        <v>NSW</v>
      </c>
      <c r="K450" s="49">
        <v>100</v>
      </c>
      <c r="L450" s="45" t="str">
        <f>IF(Table13232[[#This Row],[Fin]]&lt;&gt;"1st","",Table13232[[#This Row],[Div]]*Table13232[[#This Row],[Lev Bet]])</f>
        <v/>
      </c>
      <c r="M450" s="45">
        <f>IF(Table13232[[#This Row],[Lev Ret]]="",Table13232[[#This Row],[Lev Bet]]*-1,L450-K450)</f>
        <v>-100</v>
      </c>
      <c r="N450" s="135">
        <v>150</v>
      </c>
      <c r="O450" s="135" t="str">
        <f>IF(Table13232[[#This Row],[Fin]]&lt;&gt;"1st","",Table13232[[#This Row],[Div]]*Table13232[[#This Row],[Nat and Combo Bet]])</f>
        <v/>
      </c>
      <c r="P450" s="135">
        <f>IF(Table13232[[#This Row],[Lev Ret]]="",Table13232[[#This Row],[Nat and Combo Bet]]*-1,O450-N450)</f>
        <v>-150</v>
      </c>
      <c r="Q450" s="50">
        <f t="shared" si="18"/>
        <v>1</v>
      </c>
      <c r="R450" s="50">
        <f>IF(AND(Q449=2,Q450=1),"",IF(Q450=2,(N450+N451)/2,IF(Table13232[[#This Row],[Dual Listing]]=1,Table13232[[#This Row],[Nat and Combo Bet]],11)))</f>
        <v>150</v>
      </c>
      <c r="S450" s="50" t="str">
        <f t="shared" si="19"/>
        <v/>
      </c>
      <c r="T450" s="50">
        <f t="shared" si="20"/>
        <v>-150</v>
      </c>
      <c r="U450" s="50" t="str">
        <f>IF(Table13232[[#This Row],[Date]]&lt;$U$4,"","Live")</f>
        <v/>
      </c>
      <c r="V450" s="45" t="str">
        <f>TEXT(Table13232[[#This Row],[Date]],"DDD")</f>
        <v>Sat</v>
      </c>
      <c r="W450" s="45" t="str">
        <f>PROPER(TRIM(Table13232[[#This Row],[Horse]]))</f>
        <v>Captain Furai</v>
      </c>
    </row>
    <row r="451" spans="1:23" x14ac:dyDescent="0.25">
      <c r="A451" s="43">
        <v>45899</v>
      </c>
      <c r="B451" s="44">
        <v>0.57291666666666663</v>
      </c>
      <c r="C451" s="44" t="s">
        <v>34</v>
      </c>
      <c r="D451" s="45">
        <v>4</v>
      </c>
      <c r="E451" s="45">
        <v>14</v>
      </c>
      <c r="F451" s="46" t="s">
        <v>92</v>
      </c>
      <c r="G451" s="46" t="s">
        <v>21</v>
      </c>
      <c r="H451" s="47">
        <v>3.6</v>
      </c>
      <c r="I451" s="52" t="s">
        <v>297</v>
      </c>
      <c r="J451" s="45" t="str">
        <f>VLOOKUP(Table13232[[#This Row],[Track]],$C$836:$E$882,2,FALSE)</f>
        <v>Vic</v>
      </c>
      <c r="K451" s="49">
        <v>100</v>
      </c>
      <c r="L451" s="45">
        <f>IF(Table13232[[#This Row],[Fin]]&lt;&gt;"1st","",Table13232[[#This Row],[Div]]*Table13232[[#This Row],[Lev Bet]])</f>
        <v>360</v>
      </c>
      <c r="M451" s="45">
        <f>IF(Table13232[[#This Row],[Lev Ret]]="",Table13232[[#This Row],[Lev Bet]]*-1,L451-K451)</f>
        <v>260</v>
      </c>
      <c r="N451" s="135">
        <v>200</v>
      </c>
      <c r="O451" s="135">
        <f>IF(Table13232[[#This Row],[Fin]]&lt;&gt;"1st","",Table13232[[#This Row],[Div]]*Table13232[[#This Row],[Nat and Combo Bet]])</f>
        <v>720</v>
      </c>
      <c r="P451" s="135">
        <f>IF(Table13232[[#This Row],[Lev Ret]]="",Table13232[[#This Row],[Nat and Combo Bet]]*-1,O451-N451)</f>
        <v>520</v>
      </c>
      <c r="Q451" s="50">
        <f t="shared" si="18"/>
        <v>1</v>
      </c>
      <c r="R451" s="50">
        <f>IF(AND(Q450=2,Q451=1),"",IF(Q451=2,(N451+N452)/2,IF(Table13232[[#This Row],[Dual Listing]]=1,Table13232[[#This Row],[Nat and Combo Bet]],11)))</f>
        <v>200</v>
      </c>
      <c r="S451" s="50">
        <f t="shared" si="19"/>
        <v>720</v>
      </c>
      <c r="T451" s="50">
        <f t="shared" si="20"/>
        <v>520</v>
      </c>
      <c r="U451" s="50" t="str">
        <f>IF(Table13232[[#This Row],[Date]]&lt;$U$4,"","Live")</f>
        <v/>
      </c>
      <c r="V451" s="45" t="str">
        <f>TEXT(Table13232[[#This Row],[Date]],"DDD")</f>
        <v>Sat</v>
      </c>
      <c r="W451" s="45" t="str">
        <f>PROPER(TRIM(Table13232[[#This Row],[Horse]]))</f>
        <v>Revelare</v>
      </c>
    </row>
    <row r="452" spans="1:23" x14ac:dyDescent="0.25">
      <c r="A452" s="43">
        <v>45899</v>
      </c>
      <c r="B452" s="44">
        <v>0.58680555555555558</v>
      </c>
      <c r="C452" s="44" t="s">
        <v>11</v>
      </c>
      <c r="D452" s="45">
        <v>5</v>
      </c>
      <c r="E452" s="45">
        <v>11</v>
      </c>
      <c r="F452" s="46" t="s">
        <v>240</v>
      </c>
      <c r="G452" s="46" t="s">
        <v>22</v>
      </c>
      <c r="H452" s="47"/>
      <c r="I452" s="52" t="s">
        <v>297</v>
      </c>
      <c r="J452" s="45" t="str">
        <f>VLOOKUP(Table13232[[#This Row],[Track]],$C$836:$E$882,2,FALSE)</f>
        <v>NSW</v>
      </c>
      <c r="K452" s="49">
        <v>100</v>
      </c>
      <c r="L452" s="45" t="str">
        <f>IF(Table13232[[#This Row],[Fin]]&lt;&gt;"1st","",Table13232[[#This Row],[Div]]*Table13232[[#This Row],[Lev Bet]])</f>
        <v/>
      </c>
      <c r="M452" s="45">
        <f>IF(Table13232[[#This Row],[Lev Ret]]="",Table13232[[#This Row],[Lev Bet]]*-1,L452-K452)</f>
        <v>-100</v>
      </c>
      <c r="N452" s="135">
        <v>200</v>
      </c>
      <c r="O452" s="135" t="str">
        <f>IF(Table13232[[#This Row],[Fin]]&lt;&gt;"1st","",Table13232[[#This Row],[Div]]*Table13232[[#This Row],[Nat and Combo Bet]])</f>
        <v/>
      </c>
      <c r="P452" s="135">
        <f>IF(Table13232[[#This Row],[Lev Ret]]="",Table13232[[#This Row],[Nat and Combo Bet]]*-1,O452-N452)</f>
        <v>-200</v>
      </c>
      <c r="Q452" s="50">
        <f t="shared" si="18"/>
        <v>1</v>
      </c>
      <c r="R452" s="50">
        <f>IF(AND(Q451=2,Q452=1),"",IF(Q452=2,(N452+N453)/2,IF(Table13232[[#This Row],[Dual Listing]]=1,Table13232[[#This Row],[Nat and Combo Bet]],11)))</f>
        <v>200</v>
      </c>
      <c r="S452" s="50" t="str">
        <f t="shared" si="19"/>
        <v/>
      </c>
      <c r="T452" s="50">
        <f t="shared" si="20"/>
        <v>-200</v>
      </c>
      <c r="U452" s="50" t="str">
        <f>IF(Table13232[[#This Row],[Date]]&lt;$U$4,"","Live")</f>
        <v/>
      </c>
      <c r="V452" s="45" t="str">
        <f>TEXT(Table13232[[#This Row],[Date]],"DDD")</f>
        <v>Sat</v>
      </c>
      <c r="W452" s="45" t="str">
        <f>PROPER(TRIM(Table13232[[#This Row],[Horse]]))</f>
        <v>Tazima</v>
      </c>
    </row>
    <row r="453" spans="1:23" x14ac:dyDescent="0.25">
      <c r="A453" s="43">
        <v>45899</v>
      </c>
      <c r="B453" s="44">
        <v>0.59236111111111112</v>
      </c>
      <c r="C453" s="44" t="s">
        <v>12</v>
      </c>
      <c r="D453" s="45">
        <v>5</v>
      </c>
      <c r="E453" s="45">
        <v>3</v>
      </c>
      <c r="F453" s="46" t="s">
        <v>68</v>
      </c>
      <c r="G453" s="46"/>
      <c r="H453" s="47"/>
      <c r="I453" s="47" t="s">
        <v>298</v>
      </c>
      <c r="J453" s="45" t="str">
        <f>VLOOKUP(Table13232[[#This Row],[Track]],$C$836:$E$882,2,FALSE)</f>
        <v>Qld</v>
      </c>
      <c r="K453" s="49">
        <v>100</v>
      </c>
      <c r="L453" s="45" t="str">
        <f>IF(Table13232[[#This Row],[Fin]]&lt;&gt;"1st","",Table13232[[#This Row],[Div]]*Table13232[[#This Row],[Lev Bet]])</f>
        <v/>
      </c>
      <c r="M453" s="45">
        <f>IF(Table13232[[#This Row],[Lev Ret]]="",Table13232[[#This Row],[Lev Bet]]*-1,L453-K453)</f>
        <v>-100</v>
      </c>
      <c r="N453" s="135">
        <v>100</v>
      </c>
      <c r="O453" s="135" t="str">
        <f>IF(Table13232[[#This Row],[Fin]]&lt;&gt;"1st","",Table13232[[#This Row],[Div]]*Table13232[[#This Row],[Nat and Combo Bet]])</f>
        <v/>
      </c>
      <c r="P453" s="135">
        <f>IF(Table13232[[#This Row],[Lev Ret]]="",Table13232[[#This Row],[Nat and Combo Bet]]*-1,O453-N453)</f>
        <v>-100</v>
      </c>
      <c r="Q453" s="50">
        <f t="shared" si="18"/>
        <v>1</v>
      </c>
      <c r="R453" s="50">
        <f>IF(AND(Q452=2,Q453=1),"",IF(Q453=2,(N453+N454)/2,IF(Table13232[[#This Row],[Dual Listing]]=1,Table13232[[#This Row],[Nat and Combo Bet]],11)))</f>
        <v>100</v>
      </c>
      <c r="S453" s="50" t="str">
        <f t="shared" si="19"/>
        <v/>
      </c>
      <c r="T453" s="50">
        <f t="shared" si="20"/>
        <v>-100</v>
      </c>
      <c r="U453" s="50" t="str">
        <f>IF(Table13232[[#This Row],[Date]]&lt;$U$4,"","Live")</f>
        <v/>
      </c>
      <c r="V453" s="45" t="str">
        <f>TEXT(Table13232[[#This Row],[Date]],"DDD")</f>
        <v>Sat</v>
      </c>
      <c r="W453" s="45" t="str">
        <f>PROPER(TRIM(Table13232[[#This Row],[Horse]]))</f>
        <v>Free Carry</v>
      </c>
    </row>
    <row r="454" spans="1:23" x14ac:dyDescent="0.25">
      <c r="A454" s="43">
        <v>45899</v>
      </c>
      <c r="B454" s="44">
        <v>0.59722222222222221</v>
      </c>
      <c r="C454" s="44" t="s">
        <v>34</v>
      </c>
      <c r="D454" s="45">
        <v>5</v>
      </c>
      <c r="E454" s="45">
        <v>19</v>
      </c>
      <c r="F454" s="46" t="s">
        <v>228</v>
      </c>
      <c r="G454" s="46"/>
      <c r="H454" s="47"/>
      <c r="I454" s="47" t="s">
        <v>298</v>
      </c>
      <c r="J454" s="45" t="str">
        <f>VLOOKUP(Table13232[[#This Row],[Track]],$C$836:$E$882,2,FALSE)</f>
        <v>Vic</v>
      </c>
      <c r="K454" s="49">
        <v>100</v>
      </c>
      <c r="L454" s="45" t="str">
        <f>IF(Table13232[[#This Row],[Fin]]&lt;&gt;"1st","",Table13232[[#This Row],[Div]]*Table13232[[#This Row],[Lev Bet]])</f>
        <v/>
      </c>
      <c r="M454" s="45">
        <f>IF(Table13232[[#This Row],[Lev Ret]]="",Table13232[[#This Row],[Lev Bet]]*-1,L454-K454)</f>
        <v>-100</v>
      </c>
      <c r="N454" s="135">
        <v>100</v>
      </c>
      <c r="O454" s="135" t="str">
        <f>IF(Table13232[[#This Row],[Fin]]&lt;&gt;"1st","",Table13232[[#This Row],[Div]]*Table13232[[#This Row],[Nat and Combo Bet]])</f>
        <v/>
      </c>
      <c r="P454" s="135">
        <f>IF(Table13232[[#This Row],[Lev Ret]]="",Table13232[[#This Row],[Nat and Combo Bet]]*-1,O454-N454)</f>
        <v>-100</v>
      </c>
      <c r="Q454" s="50">
        <f t="shared" si="18"/>
        <v>1</v>
      </c>
      <c r="R454" s="50">
        <f>IF(AND(Q453=2,Q454=1),"",IF(Q454=2,(N454+N455)/2,IF(Table13232[[#This Row],[Dual Listing]]=1,Table13232[[#This Row],[Nat and Combo Bet]],11)))</f>
        <v>100</v>
      </c>
      <c r="S454" s="50" t="str">
        <f t="shared" si="19"/>
        <v/>
      </c>
      <c r="T454" s="50">
        <f t="shared" si="20"/>
        <v>-100</v>
      </c>
      <c r="U454" s="50" t="str">
        <f>IF(Table13232[[#This Row],[Date]]&lt;$U$4,"","Live")</f>
        <v/>
      </c>
      <c r="V454" s="45" t="str">
        <f>TEXT(Table13232[[#This Row],[Date]],"DDD")</f>
        <v>Sat</v>
      </c>
      <c r="W454" s="45" t="str">
        <f>PROPER(TRIM(Table13232[[#This Row],[Horse]]))</f>
        <v>Whisky On The Hill</v>
      </c>
    </row>
    <row r="455" spans="1:23" x14ac:dyDescent="0.25">
      <c r="A455" s="43">
        <v>45899</v>
      </c>
      <c r="B455" s="44">
        <v>0.6166666666666667</v>
      </c>
      <c r="C455" s="44" t="s">
        <v>12</v>
      </c>
      <c r="D455" s="45">
        <v>6</v>
      </c>
      <c r="E455" s="45">
        <v>7</v>
      </c>
      <c r="F455" s="46" t="s">
        <v>229</v>
      </c>
      <c r="G455" s="46" t="s">
        <v>21</v>
      </c>
      <c r="H455" s="47">
        <v>3.1</v>
      </c>
      <c r="I455" s="47" t="s">
        <v>298</v>
      </c>
      <c r="J455" s="45" t="str">
        <f>VLOOKUP(Table13232[[#This Row],[Track]],$C$836:$E$882,2,FALSE)</f>
        <v>Qld</v>
      </c>
      <c r="K455" s="49">
        <v>100</v>
      </c>
      <c r="L455" s="45">
        <f>IF(Table13232[[#This Row],[Fin]]&lt;&gt;"1st","",Table13232[[#This Row],[Div]]*Table13232[[#This Row],[Lev Bet]])</f>
        <v>310</v>
      </c>
      <c r="M455" s="45">
        <f>IF(Table13232[[#This Row],[Lev Ret]]="",Table13232[[#This Row],[Lev Bet]]*-1,L455-K455)</f>
        <v>210</v>
      </c>
      <c r="N455" s="135">
        <v>100</v>
      </c>
      <c r="O455" s="135">
        <f>IF(Table13232[[#This Row],[Fin]]&lt;&gt;"1st","",Table13232[[#This Row],[Div]]*Table13232[[#This Row],[Nat and Combo Bet]])</f>
        <v>310</v>
      </c>
      <c r="P455" s="135">
        <f>IF(Table13232[[#This Row],[Lev Ret]]="",Table13232[[#This Row],[Nat and Combo Bet]]*-1,O455-N455)</f>
        <v>210</v>
      </c>
      <c r="Q455" s="50">
        <f t="shared" ref="Q455:Q518" si="21">IF(AND(A456=A455,F456=F455),2,1)</f>
        <v>1</v>
      </c>
      <c r="R455" s="50">
        <f>IF(AND(Q454=2,Q455=1),"",IF(Q455=2,(N455+N456)/2,IF(Table13232[[#This Row],[Dual Listing]]=1,Table13232[[#This Row],[Nat and Combo Bet]],11)))</f>
        <v>100</v>
      </c>
      <c r="S455" s="50">
        <f t="shared" ref="S455:S518" si="22">IF(R455="","",IF(O455="","",R455*H455))</f>
        <v>310</v>
      </c>
      <c r="T455" s="50">
        <f t="shared" ref="T455:T518" si="23">IF(R455="","",IF(S455="",R455*-1,S455-R455))</f>
        <v>210</v>
      </c>
      <c r="U455" s="50" t="str">
        <f>IF(Table13232[[#This Row],[Date]]&lt;$U$4,"","Live")</f>
        <v/>
      </c>
      <c r="V455" s="45" t="str">
        <f>TEXT(Table13232[[#This Row],[Date]],"DDD")</f>
        <v>Sat</v>
      </c>
      <c r="W455" s="45" t="str">
        <f>PROPER(TRIM(Table13232[[#This Row],[Horse]]))</f>
        <v>Give Giggles</v>
      </c>
    </row>
    <row r="456" spans="1:23" x14ac:dyDescent="0.25">
      <c r="A456" s="43">
        <v>45899</v>
      </c>
      <c r="B456" s="44">
        <v>0.64097222222222228</v>
      </c>
      <c r="C456" s="44" t="s">
        <v>12</v>
      </c>
      <c r="D456" s="45">
        <v>7</v>
      </c>
      <c r="E456" s="45">
        <v>10</v>
      </c>
      <c r="F456" s="46" t="s">
        <v>214</v>
      </c>
      <c r="G456" s="46" t="s">
        <v>21</v>
      </c>
      <c r="H456" s="47">
        <v>2.7</v>
      </c>
      <c r="I456" s="47" t="s">
        <v>298</v>
      </c>
      <c r="J456" s="45" t="str">
        <f>VLOOKUP(Table13232[[#This Row],[Track]],$C$836:$E$882,2,FALSE)</f>
        <v>Qld</v>
      </c>
      <c r="K456" s="49">
        <v>100</v>
      </c>
      <c r="L456" s="45">
        <f>IF(Table13232[[#This Row],[Fin]]&lt;&gt;"1st","",Table13232[[#This Row],[Div]]*Table13232[[#This Row],[Lev Bet]])</f>
        <v>270</v>
      </c>
      <c r="M456" s="45">
        <f>IF(Table13232[[#This Row],[Lev Ret]]="",Table13232[[#This Row],[Lev Bet]]*-1,L456-K456)</f>
        <v>170</v>
      </c>
      <c r="N456" s="135">
        <v>100</v>
      </c>
      <c r="O456" s="135">
        <f>IF(Table13232[[#This Row],[Fin]]&lt;&gt;"1st","",Table13232[[#This Row],[Div]]*Table13232[[#This Row],[Nat and Combo Bet]])</f>
        <v>270</v>
      </c>
      <c r="P456" s="135">
        <f>IF(Table13232[[#This Row],[Lev Ret]]="",Table13232[[#This Row],[Nat and Combo Bet]]*-1,O456-N456)</f>
        <v>170</v>
      </c>
      <c r="Q456" s="50">
        <f t="shared" si="21"/>
        <v>1</v>
      </c>
      <c r="R456" s="50">
        <f>IF(AND(Q455=2,Q456=1),"",IF(Q456=2,(N456+N457)/2,IF(Table13232[[#This Row],[Dual Listing]]=1,Table13232[[#This Row],[Nat and Combo Bet]],11)))</f>
        <v>100</v>
      </c>
      <c r="S456" s="50">
        <f t="shared" si="22"/>
        <v>270</v>
      </c>
      <c r="T456" s="50">
        <f t="shared" si="23"/>
        <v>170</v>
      </c>
      <c r="U456" s="50" t="str">
        <f>IF(Table13232[[#This Row],[Date]]&lt;$U$4,"","Live")</f>
        <v/>
      </c>
      <c r="V456" s="45" t="str">
        <f>TEXT(Table13232[[#This Row],[Date]],"DDD")</f>
        <v>Sat</v>
      </c>
      <c r="W456" s="45" t="str">
        <f>PROPER(TRIM(Table13232[[#This Row],[Horse]]))</f>
        <v>Bullion Boy</v>
      </c>
    </row>
    <row r="457" spans="1:23" x14ac:dyDescent="0.25">
      <c r="A457" s="43">
        <v>45899</v>
      </c>
      <c r="B457" s="44">
        <v>0.64583333333333337</v>
      </c>
      <c r="C457" s="44" t="s">
        <v>34</v>
      </c>
      <c r="D457" s="45">
        <v>7</v>
      </c>
      <c r="E457" s="45">
        <v>4</v>
      </c>
      <c r="F457" s="46" t="s">
        <v>409</v>
      </c>
      <c r="G457" s="46"/>
      <c r="H457" s="47"/>
      <c r="I457" s="52" t="s">
        <v>297</v>
      </c>
      <c r="J457" s="45" t="str">
        <f>VLOOKUP(Table13232[[#This Row],[Track]],$C$836:$E$882,2,FALSE)</f>
        <v>Vic</v>
      </c>
      <c r="K457" s="49">
        <v>100</v>
      </c>
      <c r="L457" s="45" t="str">
        <f>IF(Table13232[[#This Row],[Fin]]&lt;&gt;"1st","",Table13232[[#This Row],[Div]]*Table13232[[#This Row],[Lev Bet]])</f>
        <v/>
      </c>
      <c r="M457" s="45">
        <f>IF(Table13232[[#This Row],[Lev Ret]]="",Table13232[[#This Row],[Lev Bet]]*-1,L457-K457)</f>
        <v>-100</v>
      </c>
      <c r="N457" s="135">
        <v>150</v>
      </c>
      <c r="O457" s="135" t="str">
        <f>IF(Table13232[[#This Row],[Fin]]&lt;&gt;"1st","",Table13232[[#This Row],[Div]]*Table13232[[#This Row],[Nat and Combo Bet]])</f>
        <v/>
      </c>
      <c r="P457" s="135">
        <f>IF(Table13232[[#This Row],[Lev Ret]]="",Table13232[[#This Row],[Nat and Combo Bet]]*-1,O457-N457)</f>
        <v>-150</v>
      </c>
      <c r="Q457" s="50">
        <f t="shared" si="21"/>
        <v>1</v>
      </c>
      <c r="R457" s="50">
        <f>IF(AND(Q456=2,Q457=1),"",IF(Q457=2,(N457+N458)/2,IF(Table13232[[#This Row],[Dual Listing]]=1,Table13232[[#This Row],[Nat and Combo Bet]],11)))</f>
        <v>150</v>
      </c>
      <c r="S457" s="50" t="str">
        <f t="shared" si="22"/>
        <v/>
      </c>
      <c r="T457" s="50">
        <f t="shared" si="23"/>
        <v>-150</v>
      </c>
      <c r="U457" s="50" t="str">
        <f>IF(Table13232[[#This Row],[Date]]&lt;$U$4,"","Live")</f>
        <v/>
      </c>
      <c r="V457" s="45" t="str">
        <f>TEXT(Table13232[[#This Row],[Date]],"DDD")</f>
        <v>Sat</v>
      </c>
      <c r="W457" s="45" t="str">
        <f>PROPER(TRIM(Table13232[[#This Row],[Horse]]))</f>
        <v>Mazu</v>
      </c>
    </row>
    <row r="458" spans="1:23" x14ac:dyDescent="0.25">
      <c r="A458" s="43">
        <v>45899</v>
      </c>
      <c r="B458" s="44">
        <v>0.64583333333333337</v>
      </c>
      <c r="C458" s="44" t="s">
        <v>34</v>
      </c>
      <c r="D458" s="45">
        <v>7</v>
      </c>
      <c r="E458" s="45">
        <v>12</v>
      </c>
      <c r="F458" s="46" t="s">
        <v>230</v>
      </c>
      <c r="G458" s="46"/>
      <c r="H458" s="47"/>
      <c r="I458" s="47" t="s">
        <v>298</v>
      </c>
      <c r="J458" s="45" t="str">
        <f>VLOOKUP(Table13232[[#This Row],[Track]],$C$836:$E$882,2,FALSE)</f>
        <v>Vic</v>
      </c>
      <c r="K458" s="49">
        <v>100</v>
      </c>
      <c r="L458" s="45" t="str">
        <f>IF(Table13232[[#This Row],[Fin]]&lt;&gt;"1st","",Table13232[[#This Row],[Div]]*Table13232[[#This Row],[Lev Bet]])</f>
        <v/>
      </c>
      <c r="M458" s="45">
        <f>IF(Table13232[[#This Row],[Lev Ret]]="",Table13232[[#This Row],[Lev Bet]]*-1,L458-K458)</f>
        <v>-100</v>
      </c>
      <c r="N458" s="135">
        <v>100</v>
      </c>
      <c r="O458" s="135" t="str">
        <f>IF(Table13232[[#This Row],[Fin]]&lt;&gt;"1st","",Table13232[[#This Row],[Div]]*Table13232[[#This Row],[Nat and Combo Bet]])</f>
        <v/>
      </c>
      <c r="P458" s="135">
        <f>IF(Table13232[[#This Row],[Lev Ret]]="",Table13232[[#This Row],[Nat and Combo Bet]]*-1,O458-N458)</f>
        <v>-100</v>
      </c>
      <c r="Q458" s="50">
        <f t="shared" si="21"/>
        <v>1</v>
      </c>
      <c r="R458" s="50">
        <f>IF(AND(Q457=2,Q458=1),"",IF(Q458=2,(N458+N459)/2,IF(Table13232[[#This Row],[Dual Listing]]=1,Table13232[[#This Row],[Nat and Combo Bet]],11)))</f>
        <v>100</v>
      </c>
      <c r="S458" s="50" t="str">
        <f t="shared" si="22"/>
        <v/>
      </c>
      <c r="T458" s="50">
        <f t="shared" si="23"/>
        <v>-100</v>
      </c>
      <c r="U458" s="50" t="str">
        <f>IF(Table13232[[#This Row],[Date]]&lt;$U$4,"","Live")</f>
        <v/>
      </c>
      <c r="V458" s="45" t="str">
        <f>TEXT(Table13232[[#This Row],[Date]],"DDD")</f>
        <v>Sat</v>
      </c>
      <c r="W458" s="45" t="str">
        <f>PROPER(TRIM(Table13232[[#This Row],[Horse]]))</f>
        <v>Shes Bulletproof</v>
      </c>
    </row>
    <row r="459" spans="1:23" x14ac:dyDescent="0.25">
      <c r="A459" s="43">
        <v>45899</v>
      </c>
      <c r="B459" s="44">
        <v>0.64583333333333337</v>
      </c>
      <c r="C459" s="44" t="s">
        <v>34</v>
      </c>
      <c r="D459" s="45">
        <v>7</v>
      </c>
      <c r="E459" s="45">
        <v>6</v>
      </c>
      <c r="F459" s="46" t="s">
        <v>460</v>
      </c>
      <c r="G459" s="46"/>
      <c r="H459" s="47"/>
      <c r="I459" s="52" t="s">
        <v>297</v>
      </c>
      <c r="J459" s="45" t="str">
        <f>VLOOKUP(Table13232[[#This Row],[Track]],$C$836:$E$882,2,FALSE)</f>
        <v>Vic</v>
      </c>
      <c r="K459" s="49">
        <v>100</v>
      </c>
      <c r="L459" s="45" t="str">
        <f>IF(Table13232[[#This Row],[Fin]]&lt;&gt;"1st","",Table13232[[#This Row],[Div]]*Table13232[[#This Row],[Lev Bet]])</f>
        <v/>
      </c>
      <c r="M459" s="45">
        <f>IF(Table13232[[#This Row],[Lev Ret]]="",Table13232[[#This Row],[Lev Bet]]*-1,L459-K459)</f>
        <v>-100</v>
      </c>
      <c r="N459" s="135">
        <v>100</v>
      </c>
      <c r="O459" s="135" t="str">
        <f>IF(Table13232[[#This Row],[Fin]]&lt;&gt;"1st","",Table13232[[#This Row],[Div]]*Table13232[[#This Row],[Nat and Combo Bet]])</f>
        <v/>
      </c>
      <c r="P459" s="135">
        <f>IF(Table13232[[#This Row],[Lev Ret]]="",Table13232[[#This Row],[Nat and Combo Bet]]*-1,O459-N459)</f>
        <v>-100</v>
      </c>
      <c r="Q459" s="50">
        <f t="shared" si="21"/>
        <v>1</v>
      </c>
      <c r="R459" s="50">
        <f>IF(AND(Q458=2,Q459=1),"",IF(Q459=2,(N459+N460)/2,IF(Table13232[[#This Row],[Dual Listing]]=1,Table13232[[#This Row],[Nat and Combo Bet]],11)))</f>
        <v>100</v>
      </c>
      <c r="S459" s="50" t="str">
        <f t="shared" si="22"/>
        <v/>
      </c>
      <c r="T459" s="50">
        <f t="shared" si="23"/>
        <v>-100</v>
      </c>
      <c r="U459" s="50" t="str">
        <f>IF(Table13232[[#This Row],[Date]]&lt;$U$4,"","Live")</f>
        <v/>
      </c>
      <c r="V459" s="45" t="str">
        <f>TEXT(Table13232[[#This Row],[Date]],"DDD")</f>
        <v>Sat</v>
      </c>
      <c r="W459" s="45" t="str">
        <f>PROPER(TRIM(Table13232[[#This Row],[Horse]]))</f>
        <v>Zarastro</v>
      </c>
    </row>
    <row r="460" spans="1:23" x14ac:dyDescent="0.25">
      <c r="A460" s="43">
        <v>45899</v>
      </c>
      <c r="B460" s="44">
        <v>0.66805555555555551</v>
      </c>
      <c r="C460" s="44" t="s">
        <v>12</v>
      </c>
      <c r="D460" s="45">
        <v>8</v>
      </c>
      <c r="E460" s="45">
        <v>13</v>
      </c>
      <c r="F460" s="46" t="s">
        <v>231</v>
      </c>
      <c r="G460" s="46"/>
      <c r="H460" s="47"/>
      <c r="I460" s="47" t="s">
        <v>298</v>
      </c>
      <c r="J460" s="45" t="str">
        <f>VLOOKUP(Table13232[[#This Row],[Track]],$C$836:$E$882,2,FALSE)</f>
        <v>Qld</v>
      </c>
      <c r="K460" s="49">
        <v>100</v>
      </c>
      <c r="L460" s="45" t="str">
        <f>IF(Table13232[[#This Row],[Fin]]&lt;&gt;"1st","",Table13232[[#This Row],[Div]]*Table13232[[#This Row],[Lev Bet]])</f>
        <v/>
      </c>
      <c r="M460" s="45">
        <f>IF(Table13232[[#This Row],[Lev Ret]]="",Table13232[[#This Row],[Lev Bet]]*-1,L460-K460)</f>
        <v>-100</v>
      </c>
      <c r="N460" s="135">
        <v>100</v>
      </c>
      <c r="O460" s="135" t="str">
        <f>IF(Table13232[[#This Row],[Fin]]&lt;&gt;"1st","",Table13232[[#This Row],[Div]]*Table13232[[#This Row],[Nat and Combo Bet]])</f>
        <v/>
      </c>
      <c r="P460" s="135">
        <f>IF(Table13232[[#This Row],[Lev Ret]]="",Table13232[[#This Row],[Nat and Combo Bet]]*-1,O460-N460)</f>
        <v>-100</v>
      </c>
      <c r="Q460" s="50">
        <f t="shared" si="21"/>
        <v>1</v>
      </c>
      <c r="R460" s="50">
        <f>IF(AND(Q459=2,Q460=1),"",IF(Q460=2,(N460+N461)/2,IF(Table13232[[#This Row],[Dual Listing]]=1,Table13232[[#This Row],[Nat and Combo Bet]],11)))</f>
        <v>100</v>
      </c>
      <c r="S460" s="50" t="str">
        <f t="shared" si="22"/>
        <v/>
      </c>
      <c r="T460" s="50">
        <f t="shared" si="23"/>
        <v>-100</v>
      </c>
      <c r="U460" s="50" t="str">
        <f>IF(Table13232[[#This Row],[Date]]&lt;$U$4,"","Live")</f>
        <v/>
      </c>
      <c r="V460" s="45" t="str">
        <f>TEXT(Table13232[[#This Row],[Date]],"DDD")</f>
        <v>Sat</v>
      </c>
      <c r="W460" s="45" t="str">
        <f>PROPER(TRIM(Table13232[[#This Row],[Horse]]))</f>
        <v>Sultry Siren</v>
      </c>
    </row>
    <row r="461" spans="1:23" x14ac:dyDescent="0.25">
      <c r="A461" s="43">
        <v>45899</v>
      </c>
      <c r="B461" s="44">
        <v>0.67361111111111116</v>
      </c>
      <c r="C461" s="44" t="s">
        <v>34</v>
      </c>
      <c r="D461" s="45">
        <v>8</v>
      </c>
      <c r="E461" s="45">
        <v>12</v>
      </c>
      <c r="F461" s="46" t="s">
        <v>232</v>
      </c>
      <c r="G461" s="46" t="s">
        <v>23</v>
      </c>
      <c r="H461" s="47"/>
      <c r="I461" s="47" t="s">
        <v>298</v>
      </c>
      <c r="J461" s="45" t="str">
        <f>VLOOKUP(Table13232[[#This Row],[Track]],$C$836:$E$882,2,FALSE)</f>
        <v>Vic</v>
      </c>
      <c r="K461" s="49">
        <v>100</v>
      </c>
      <c r="L461" s="45" t="str">
        <f>IF(Table13232[[#This Row],[Fin]]&lt;&gt;"1st","",Table13232[[#This Row],[Div]]*Table13232[[#This Row],[Lev Bet]])</f>
        <v/>
      </c>
      <c r="M461" s="45">
        <f>IF(Table13232[[#This Row],[Lev Ret]]="",Table13232[[#This Row],[Lev Bet]]*-1,L461-K461)</f>
        <v>-100</v>
      </c>
      <c r="N461" s="135">
        <v>100</v>
      </c>
      <c r="O461" s="135" t="str">
        <f>IF(Table13232[[#This Row],[Fin]]&lt;&gt;"1st","",Table13232[[#This Row],[Div]]*Table13232[[#This Row],[Nat and Combo Bet]])</f>
        <v/>
      </c>
      <c r="P461" s="135">
        <f>IF(Table13232[[#This Row],[Lev Ret]]="",Table13232[[#This Row],[Nat and Combo Bet]]*-1,O461-N461)</f>
        <v>-100</v>
      </c>
      <c r="Q461" s="50">
        <f t="shared" si="21"/>
        <v>1</v>
      </c>
      <c r="R461" s="50">
        <f>IF(AND(Q460=2,Q461=1),"",IF(Q461=2,(N461+N462)/2,IF(Table13232[[#This Row],[Dual Listing]]=1,Table13232[[#This Row],[Nat and Combo Bet]],11)))</f>
        <v>100</v>
      </c>
      <c r="S461" s="50" t="str">
        <f t="shared" si="22"/>
        <v/>
      </c>
      <c r="T461" s="50">
        <f t="shared" si="23"/>
        <v>-100</v>
      </c>
      <c r="U461" s="50" t="str">
        <f>IF(Table13232[[#This Row],[Date]]&lt;$U$4,"","Live")</f>
        <v/>
      </c>
      <c r="V461" s="45" t="str">
        <f>TEXT(Table13232[[#This Row],[Date]],"DDD")</f>
        <v>Sat</v>
      </c>
      <c r="W461" s="45" t="str">
        <f>PROPER(TRIM(Table13232[[#This Row],[Horse]]))</f>
        <v>Miss Roumbini</v>
      </c>
    </row>
    <row r="462" spans="1:23" x14ac:dyDescent="0.25">
      <c r="A462" s="109">
        <v>45899</v>
      </c>
      <c r="B462" s="53">
        <v>0.69791666666666663</v>
      </c>
      <c r="C462" s="110" t="s">
        <v>34</v>
      </c>
      <c r="D462" s="111">
        <v>9</v>
      </c>
      <c r="E462" s="111">
        <v>6</v>
      </c>
      <c r="F462" s="112" t="s">
        <v>43</v>
      </c>
      <c r="G462" s="112"/>
      <c r="H462" s="113"/>
      <c r="I462" s="114" t="s">
        <v>297</v>
      </c>
      <c r="J462" s="45" t="str">
        <f>VLOOKUP(Table13232[[#This Row],[Track]],$C$836:$E$882,2,FALSE)</f>
        <v>Vic</v>
      </c>
      <c r="K462" s="55">
        <v>100</v>
      </c>
      <c r="L462" s="54" t="str">
        <f>IF(Table13232[[#This Row],[Fin]]&lt;&gt;"1st","",Table13232[[#This Row],[Div]]*Table13232[[#This Row],[Lev Bet]])</f>
        <v/>
      </c>
      <c r="M462" s="54">
        <f>IF(Table13232[[#This Row],[Lev Ret]]="",Table13232[[#This Row],[Lev Bet]]*-1,L462-K462)</f>
        <v>-100</v>
      </c>
      <c r="N462" s="135">
        <v>130</v>
      </c>
      <c r="O462" s="135" t="str">
        <f>IF(Table13232[[#This Row],[Fin]]&lt;&gt;"1st","",Table13232[[#This Row],[Div]]*Table13232[[#This Row],[Nat and Combo Bet]])</f>
        <v/>
      </c>
      <c r="P462" s="135">
        <f>IF(Table13232[[#This Row],[Lev Ret]]="",Table13232[[#This Row],[Nat and Combo Bet]]*-1,O462-N462)</f>
        <v>-130</v>
      </c>
      <c r="Q462" s="50">
        <f t="shared" si="21"/>
        <v>2</v>
      </c>
      <c r="R462" s="50">
        <f>IF(AND(Q461=2,Q462=1),"",IF(Q462=2,(N462+N463)/2,IF(Table13232[[#This Row],[Dual Listing]]=1,Table13232[[#This Row],[Nat and Combo Bet]],11)))</f>
        <v>165</v>
      </c>
      <c r="S462" s="50" t="str">
        <f t="shared" si="22"/>
        <v/>
      </c>
      <c r="T462" s="50">
        <f t="shared" si="23"/>
        <v>-165</v>
      </c>
      <c r="U462" s="50" t="str">
        <f>IF(Table13232[[#This Row],[Date]]&lt;$U$4,"","Live")</f>
        <v/>
      </c>
      <c r="V462" s="45" t="str">
        <f>TEXT(Table13232[[#This Row],[Date]],"DDD")</f>
        <v>Sat</v>
      </c>
      <c r="W462" s="45" t="str">
        <f>PROPER(TRIM(Table13232[[#This Row],[Horse]]))</f>
        <v>Another Wil</v>
      </c>
    </row>
    <row r="463" spans="1:23" x14ac:dyDescent="0.25">
      <c r="A463" s="109">
        <v>45899</v>
      </c>
      <c r="B463" s="53">
        <v>0.69791666666666663</v>
      </c>
      <c r="C463" s="110" t="s">
        <v>34</v>
      </c>
      <c r="D463" s="111">
        <v>9</v>
      </c>
      <c r="E463" s="111">
        <v>6</v>
      </c>
      <c r="F463" s="112" t="s">
        <v>43</v>
      </c>
      <c r="G463" s="112"/>
      <c r="H463" s="113"/>
      <c r="I463" s="113" t="s">
        <v>298</v>
      </c>
      <c r="J463" s="45" t="str">
        <f>VLOOKUP(Table13232[[#This Row],[Track]],$C$836:$E$882,2,FALSE)</f>
        <v>Vic</v>
      </c>
      <c r="K463" s="55">
        <v>100</v>
      </c>
      <c r="L463" s="54" t="str">
        <f>IF(Table13232[[#This Row],[Fin]]&lt;&gt;"1st","",Table13232[[#This Row],[Div]]*Table13232[[#This Row],[Lev Bet]])</f>
        <v/>
      </c>
      <c r="M463" s="54">
        <f>IF(Table13232[[#This Row],[Lev Ret]]="",Table13232[[#This Row],[Lev Bet]]*-1,L463-K463)</f>
        <v>-100</v>
      </c>
      <c r="N463" s="135">
        <v>200</v>
      </c>
      <c r="O463" s="135" t="str">
        <f>IF(Table13232[[#This Row],[Fin]]&lt;&gt;"1st","",Table13232[[#This Row],[Div]]*Table13232[[#This Row],[Nat and Combo Bet]])</f>
        <v/>
      </c>
      <c r="P463" s="135">
        <f>IF(Table13232[[#This Row],[Lev Ret]]="",Table13232[[#This Row],[Nat and Combo Bet]]*-1,O463-N463)</f>
        <v>-200</v>
      </c>
      <c r="Q463" s="50">
        <f t="shared" si="21"/>
        <v>1</v>
      </c>
      <c r="R463" s="50" t="str">
        <f>IF(AND(Q462=2,Q463=1),"",IF(Q463=2,(N463+N464)/2,IF(Table13232[[#This Row],[Dual Listing]]=1,Table13232[[#This Row],[Nat and Combo Bet]],11)))</f>
        <v/>
      </c>
      <c r="S463" s="50" t="str">
        <f t="shared" si="22"/>
        <v/>
      </c>
      <c r="T463" s="50" t="str">
        <f t="shared" si="23"/>
        <v/>
      </c>
      <c r="U463" s="50" t="str">
        <f>IF(Table13232[[#This Row],[Date]]&lt;$U$4,"","Live")</f>
        <v/>
      </c>
      <c r="V463" s="45" t="str">
        <f>TEXT(Table13232[[#This Row],[Date]],"DDD")</f>
        <v>Sat</v>
      </c>
      <c r="W463" s="45" t="str">
        <f>PROPER(TRIM(Table13232[[#This Row],[Horse]]))</f>
        <v>Another Wil</v>
      </c>
    </row>
    <row r="464" spans="1:23" x14ac:dyDescent="0.25">
      <c r="A464" s="43">
        <v>45899</v>
      </c>
      <c r="B464" s="44">
        <v>0.72222222222222221</v>
      </c>
      <c r="C464" s="44" t="s">
        <v>34</v>
      </c>
      <c r="D464" s="45">
        <v>10</v>
      </c>
      <c r="E464" s="45">
        <v>10</v>
      </c>
      <c r="F464" s="46" t="s">
        <v>103</v>
      </c>
      <c r="G464" s="46" t="s">
        <v>21</v>
      </c>
      <c r="H464" s="47">
        <v>3.5</v>
      </c>
      <c r="I464" s="47" t="s">
        <v>298</v>
      </c>
      <c r="J464" s="45" t="str">
        <f>VLOOKUP(Table13232[[#This Row],[Track]],$C$836:$E$882,2,FALSE)</f>
        <v>Vic</v>
      </c>
      <c r="K464" s="49">
        <v>100</v>
      </c>
      <c r="L464" s="45">
        <f>IF(Table13232[[#This Row],[Fin]]&lt;&gt;"1st","",Table13232[[#This Row],[Div]]*Table13232[[#This Row],[Lev Bet]])</f>
        <v>350</v>
      </c>
      <c r="M464" s="45">
        <f>IF(Table13232[[#This Row],[Lev Ret]]="",Table13232[[#This Row],[Lev Bet]]*-1,L464-K464)</f>
        <v>250</v>
      </c>
      <c r="N464" s="135">
        <v>100</v>
      </c>
      <c r="O464" s="135">
        <f>IF(Table13232[[#This Row],[Fin]]&lt;&gt;"1st","",Table13232[[#This Row],[Div]]*Table13232[[#This Row],[Nat and Combo Bet]])</f>
        <v>350</v>
      </c>
      <c r="P464" s="135">
        <f>IF(Table13232[[#This Row],[Lev Ret]]="",Table13232[[#This Row],[Nat and Combo Bet]]*-1,O464-N464)</f>
        <v>250</v>
      </c>
      <c r="Q464" s="50">
        <f t="shared" si="21"/>
        <v>1</v>
      </c>
      <c r="R464" s="50">
        <f>IF(AND(Q463=2,Q464=1),"",IF(Q464=2,(N464+N465)/2,IF(Table13232[[#This Row],[Dual Listing]]=1,Table13232[[#This Row],[Nat and Combo Bet]],11)))</f>
        <v>100</v>
      </c>
      <c r="S464" s="50">
        <f t="shared" si="22"/>
        <v>350</v>
      </c>
      <c r="T464" s="50">
        <f t="shared" si="23"/>
        <v>250</v>
      </c>
      <c r="U464" s="50" t="str">
        <f>IF(Table13232[[#This Row],[Date]]&lt;$U$4,"","Live")</f>
        <v/>
      </c>
      <c r="V464" s="45" t="str">
        <f>TEXT(Table13232[[#This Row],[Date]],"DDD")</f>
        <v>Sat</v>
      </c>
      <c r="W464" s="45" t="str">
        <f>PROPER(TRIM(Table13232[[#This Row],[Horse]]))</f>
        <v>Sepals</v>
      </c>
    </row>
    <row r="465" spans="1:23" x14ac:dyDescent="0.25">
      <c r="A465" s="43">
        <v>45906</v>
      </c>
      <c r="B465" s="44">
        <v>0.49305555555555558</v>
      </c>
      <c r="C465" s="44" t="s">
        <v>13</v>
      </c>
      <c r="D465" s="45">
        <v>1</v>
      </c>
      <c r="E465" s="45">
        <v>1</v>
      </c>
      <c r="F465" s="46" t="s">
        <v>461</v>
      </c>
      <c r="G465" s="46" t="s">
        <v>21</v>
      </c>
      <c r="H465" s="47">
        <v>2.9</v>
      </c>
      <c r="I465" s="52" t="s">
        <v>297</v>
      </c>
      <c r="J465" s="45" t="str">
        <f>VLOOKUP(Table13232[[#This Row],[Track]],$C$836:$E$882,2,FALSE)</f>
        <v>NSW</v>
      </c>
      <c r="K465" s="49">
        <v>100</v>
      </c>
      <c r="L465" s="45">
        <f>IF(Table13232[[#This Row],[Fin]]&lt;&gt;"1st","",Table13232[[#This Row],[Div]]*Table13232[[#This Row],[Lev Bet]])</f>
        <v>290</v>
      </c>
      <c r="M465" s="45">
        <f>IF(Table13232[[#This Row],[Lev Ret]]="",Table13232[[#This Row],[Lev Bet]]*-1,L465-K465)</f>
        <v>190</v>
      </c>
      <c r="N465" s="135">
        <v>140</v>
      </c>
      <c r="O465" s="135">
        <f>IF(Table13232[[#This Row],[Fin]]&lt;&gt;"1st","",Table13232[[#This Row],[Div]]*Table13232[[#This Row],[Nat and Combo Bet]])</f>
        <v>406</v>
      </c>
      <c r="P465" s="135">
        <f>IF(Table13232[[#This Row],[Lev Ret]]="",Table13232[[#This Row],[Nat and Combo Bet]]*-1,O465-N465)</f>
        <v>266</v>
      </c>
      <c r="Q465" s="50">
        <f t="shared" si="21"/>
        <v>1</v>
      </c>
      <c r="R465" s="50">
        <f>IF(AND(Q464=2,Q465=1),"",IF(Q465=2,(N465+N466)/2,IF(Table13232[[#This Row],[Dual Listing]]=1,Table13232[[#This Row],[Nat and Combo Bet]],11)))</f>
        <v>140</v>
      </c>
      <c r="S465" s="50">
        <f t="shared" si="22"/>
        <v>406</v>
      </c>
      <c r="T465" s="50">
        <f t="shared" si="23"/>
        <v>266</v>
      </c>
      <c r="U465" s="50" t="str">
        <f>IF(Table13232[[#This Row],[Date]]&lt;$U$4,"","Live")</f>
        <v/>
      </c>
      <c r="V465" s="45" t="str">
        <f>TEXT(Table13232[[#This Row],[Date]],"DDD")</f>
        <v>Sat</v>
      </c>
      <c r="W465" s="45" t="str">
        <f>PROPER(TRIM(Table13232[[#This Row],[Horse]]))</f>
        <v>Denman Star</v>
      </c>
    </row>
    <row r="466" spans="1:23" x14ac:dyDescent="0.25">
      <c r="A466" s="43">
        <v>45906</v>
      </c>
      <c r="B466" s="44">
        <v>0.49861111111111112</v>
      </c>
      <c r="C466" s="44" t="s">
        <v>9</v>
      </c>
      <c r="D466" s="45">
        <v>1</v>
      </c>
      <c r="E466" s="45">
        <v>5</v>
      </c>
      <c r="F466" s="46" t="s">
        <v>222</v>
      </c>
      <c r="G466" s="46"/>
      <c r="H466" s="47"/>
      <c r="I466" s="47" t="s">
        <v>298</v>
      </c>
      <c r="J466" s="45" t="str">
        <f>VLOOKUP(Table13232[[#This Row],[Track]],$C$836:$E$882,2,FALSE)</f>
        <v>Qld</v>
      </c>
      <c r="K466" s="49">
        <v>100</v>
      </c>
      <c r="L466" s="45" t="str">
        <f>IF(Table13232[[#This Row],[Fin]]&lt;&gt;"1st","",Table13232[[#This Row],[Div]]*Table13232[[#This Row],[Lev Bet]])</f>
        <v/>
      </c>
      <c r="M466" s="45">
        <f>IF(Table13232[[#This Row],[Lev Ret]]="",Table13232[[#This Row],[Lev Bet]]*-1,L466-K466)</f>
        <v>-100</v>
      </c>
      <c r="N466" s="135">
        <v>100</v>
      </c>
      <c r="O466" s="135" t="str">
        <f>IF(Table13232[[#This Row],[Fin]]&lt;&gt;"1st","",Table13232[[#This Row],[Div]]*Table13232[[#This Row],[Nat and Combo Bet]])</f>
        <v/>
      </c>
      <c r="P466" s="135">
        <f>IF(Table13232[[#This Row],[Lev Ret]]="",Table13232[[#This Row],[Nat and Combo Bet]]*-1,O466-N466)</f>
        <v>-100</v>
      </c>
      <c r="Q466" s="50">
        <f t="shared" si="21"/>
        <v>1</v>
      </c>
      <c r="R466" s="50">
        <f>IF(AND(Q465=2,Q466=1),"",IF(Q466=2,(N466+N467)/2,IF(Table13232[[#This Row],[Dual Listing]]=1,Table13232[[#This Row],[Nat and Combo Bet]],11)))</f>
        <v>100</v>
      </c>
      <c r="S466" s="50" t="str">
        <f t="shared" si="22"/>
        <v/>
      </c>
      <c r="T466" s="50">
        <f t="shared" si="23"/>
        <v>-100</v>
      </c>
      <c r="U466" s="50" t="str">
        <f>IF(Table13232[[#This Row],[Date]]&lt;$U$4,"","Live")</f>
        <v/>
      </c>
      <c r="V466" s="45" t="str">
        <f>TEXT(Table13232[[#This Row],[Date]],"DDD")</f>
        <v>Sat</v>
      </c>
      <c r="W466" s="45" t="str">
        <f>PROPER(TRIM(Table13232[[#This Row],[Horse]]))</f>
        <v>Northern Decree</v>
      </c>
    </row>
    <row r="467" spans="1:23" x14ac:dyDescent="0.25">
      <c r="A467" s="43">
        <v>45906</v>
      </c>
      <c r="B467" s="44">
        <v>0.5229166666666667</v>
      </c>
      <c r="C467" s="44" t="s">
        <v>9</v>
      </c>
      <c r="D467" s="45">
        <v>2</v>
      </c>
      <c r="E467" s="45">
        <v>7</v>
      </c>
      <c r="F467" s="46" t="s">
        <v>205</v>
      </c>
      <c r="G467" s="46"/>
      <c r="H467" s="47"/>
      <c r="I467" s="47" t="s">
        <v>298</v>
      </c>
      <c r="J467" s="45" t="str">
        <f>VLOOKUP(Table13232[[#This Row],[Track]],$C$836:$E$882,2,FALSE)</f>
        <v>Qld</v>
      </c>
      <c r="K467" s="49">
        <v>100</v>
      </c>
      <c r="L467" s="45" t="str">
        <f>IF(Table13232[[#This Row],[Fin]]&lt;&gt;"1st","",Table13232[[#This Row],[Div]]*Table13232[[#This Row],[Lev Bet]])</f>
        <v/>
      </c>
      <c r="M467" s="45">
        <f>IF(Table13232[[#This Row],[Lev Ret]]="",Table13232[[#This Row],[Lev Bet]]*-1,L467-K467)</f>
        <v>-100</v>
      </c>
      <c r="N467" s="135">
        <v>100</v>
      </c>
      <c r="O467" s="135" t="str">
        <f>IF(Table13232[[#This Row],[Fin]]&lt;&gt;"1st","",Table13232[[#This Row],[Div]]*Table13232[[#This Row],[Nat and Combo Bet]])</f>
        <v/>
      </c>
      <c r="P467" s="135">
        <f>IF(Table13232[[#This Row],[Lev Ret]]="",Table13232[[#This Row],[Nat and Combo Bet]]*-1,O467-N467)</f>
        <v>-100</v>
      </c>
      <c r="Q467" s="50">
        <f t="shared" si="21"/>
        <v>1</v>
      </c>
      <c r="R467" s="50">
        <f>IF(AND(Q466=2,Q467=1),"",IF(Q467=2,(N467+N468)/2,IF(Table13232[[#This Row],[Dual Listing]]=1,Table13232[[#This Row],[Nat and Combo Bet]],11)))</f>
        <v>100</v>
      </c>
      <c r="S467" s="50" t="str">
        <f t="shared" si="22"/>
        <v/>
      </c>
      <c r="T467" s="50">
        <f t="shared" si="23"/>
        <v>-100</v>
      </c>
      <c r="U467" s="50" t="str">
        <f>IF(Table13232[[#This Row],[Date]]&lt;$U$4,"","Live")</f>
        <v/>
      </c>
      <c r="V467" s="45" t="str">
        <f>TEXT(Table13232[[#This Row],[Date]],"DDD")</f>
        <v>Sat</v>
      </c>
      <c r="W467" s="45" t="str">
        <f>PROPER(TRIM(Table13232[[#This Row],[Horse]]))</f>
        <v>Just Flying</v>
      </c>
    </row>
    <row r="468" spans="1:23" x14ac:dyDescent="0.25">
      <c r="A468" s="43">
        <v>45906</v>
      </c>
      <c r="B468" s="44">
        <v>0.54166666666666663</v>
      </c>
      <c r="C468" s="44" t="s">
        <v>13</v>
      </c>
      <c r="D468" s="45">
        <v>3</v>
      </c>
      <c r="E468" s="45">
        <v>9</v>
      </c>
      <c r="F468" s="46" t="s">
        <v>259</v>
      </c>
      <c r="G468" s="46" t="s">
        <v>23</v>
      </c>
      <c r="H468" s="47"/>
      <c r="I468" s="52" t="s">
        <v>297</v>
      </c>
      <c r="J468" s="45" t="str">
        <f>VLOOKUP(Table13232[[#This Row],[Track]],$C$836:$E$882,2,FALSE)</f>
        <v>NSW</v>
      </c>
      <c r="K468" s="49">
        <v>100</v>
      </c>
      <c r="L468" s="45" t="str">
        <f>IF(Table13232[[#This Row],[Fin]]&lt;&gt;"1st","",Table13232[[#This Row],[Div]]*Table13232[[#This Row],[Lev Bet]])</f>
        <v/>
      </c>
      <c r="M468" s="45">
        <f>IF(Table13232[[#This Row],[Lev Ret]]="",Table13232[[#This Row],[Lev Bet]]*-1,L468-K468)</f>
        <v>-100</v>
      </c>
      <c r="N468" s="135">
        <v>150</v>
      </c>
      <c r="O468" s="135" t="str">
        <f>IF(Table13232[[#This Row],[Fin]]&lt;&gt;"1st","",Table13232[[#This Row],[Div]]*Table13232[[#This Row],[Nat and Combo Bet]])</f>
        <v/>
      </c>
      <c r="P468" s="135">
        <f>IF(Table13232[[#This Row],[Lev Ret]]="",Table13232[[#This Row],[Nat and Combo Bet]]*-1,O468-N468)</f>
        <v>-150</v>
      </c>
      <c r="Q468" s="50">
        <f t="shared" si="21"/>
        <v>1</v>
      </c>
      <c r="R468" s="50">
        <f>IF(AND(Q467=2,Q468=1),"",IF(Q468=2,(N468+N469)/2,IF(Table13232[[#This Row],[Dual Listing]]=1,Table13232[[#This Row],[Nat and Combo Bet]],11)))</f>
        <v>150</v>
      </c>
      <c r="S468" s="50" t="str">
        <f t="shared" si="22"/>
        <v/>
      </c>
      <c r="T468" s="50">
        <f t="shared" si="23"/>
        <v>-150</v>
      </c>
      <c r="U468" s="50" t="str">
        <f>IF(Table13232[[#This Row],[Date]]&lt;$U$4,"","Live")</f>
        <v/>
      </c>
      <c r="V468" s="45" t="str">
        <f>TEXT(Table13232[[#This Row],[Date]],"DDD")</f>
        <v>Sat</v>
      </c>
      <c r="W468" s="45" t="str">
        <f>PROPER(TRIM(Table13232[[#This Row],[Horse]]))</f>
        <v>Chidiac</v>
      </c>
    </row>
    <row r="469" spans="1:23" x14ac:dyDescent="0.25">
      <c r="A469" s="43">
        <v>45906</v>
      </c>
      <c r="B469" s="44">
        <v>0.54722222222222228</v>
      </c>
      <c r="C469" s="44" t="s">
        <v>9</v>
      </c>
      <c r="D469" s="45">
        <v>3</v>
      </c>
      <c r="E469" s="45">
        <v>2</v>
      </c>
      <c r="F469" s="46" t="s">
        <v>233</v>
      </c>
      <c r="G469" s="46" t="s">
        <v>21</v>
      </c>
      <c r="H469" s="47">
        <v>3.8</v>
      </c>
      <c r="I469" s="47" t="s">
        <v>298</v>
      </c>
      <c r="J469" s="45" t="str">
        <f>VLOOKUP(Table13232[[#This Row],[Track]],$C$836:$E$882,2,FALSE)</f>
        <v>Qld</v>
      </c>
      <c r="K469" s="49">
        <v>100</v>
      </c>
      <c r="L469" s="45">
        <f>IF(Table13232[[#This Row],[Fin]]&lt;&gt;"1st","",Table13232[[#This Row],[Div]]*Table13232[[#This Row],[Lev Bet]])</f>
        <v>380</v>
      </c>
      <c r="M469" s="45">
        <f>IF(Table13232[[#This Row],[Lev Ret]]="",Table13232[[#This Row],[Lev Bet]]*-1,L469-K469)</f>
        <v>280</v>
      </c>
      <c r="N469" s="135">
        <v>100</v>
      </c>
      <c r="O469" s="135">
        <f>IF(Table13232[[#This Row],[Fin]]&lt;&gt;"1st","",Table13232[[#This Row],[Div]]*Table13232[[#This Row],[Nat and Combo Bet]])</f>
        <v>380</v>
      </c>
      <c r="P469" s="135">
        <f>IF(Table13232[[#This Row],[Lev Ret]]="",Table13232[[#This Row],[Nat and Combo Bet]]*-1,O469-N469)</f>
        <v>280</v>
      </c>
      <c r="Q469" s="50">
        <f t="shared" si="21"/>
        <v>1</v>
      </c>
      <c r="R469" s="50">
        <f>IF(AND(Q468=2,Q469=1),"",IF(Q469=2,(N469+N470)/2,IF(Table13232[[#This Row],[Dual Listing]]=1,Table13232[[#This Row],[Nat and Combo Bet]],11)))</f>
        <v>100</v>
      </c>
      <c r="S469" s="50">
        <f t="shared" si="22"/>
        <v>380</v>
      </c>
      <c r="T469" s="50">
        <f t="shared" si="23"/>
        <v>280</v>
      </c>
      <c r="U469" s="50" t="str">
        <f>IF(Table13232[[#This Row],[Date]]&lt;$U$4,"","Live")</f>
        <v/>
      </c>
      <c r="V469" s="45" t="str">
        <f>TEXT(Table13232[[#This Row],[Date]],"DDD")</f>
        <v>Sat</v>
      </c>
      <c r="W469" s="45" t="str">
        <f>PROPER(TRIM(Table13232[[#This Row],[Horse]]))</f>
        <v>Piggyback</v>
      </c>
    </row>
    <row r="470" spans="1:23" x14ac:dyDescent="0.25">
      <c r="A470" s="43">
        <v>45906</v>
      </c>
      <c r="B470" s="44">
        <v>0.55208333333333337</v>
      </c>
      <c r="C470" s="44" t="s">
        <v>36</v>
      </c>
      <c r="D470" s="45">
        <v>3</v>
      </c>
      <c r="E470" s="45">
        <v>4</v>
      </c>
      <c r="F470" s="46" t="s">
        <v>462</v>
      </c>
      <c r="G470" s="46" t="s">
        <v>22</v>
      </c>
      <c r="H470" s="47"/>
      <c r="I470" s="52" t="s">
        <v>297</v>
      </c>
      <c r="J470" s="45" t="str">
        <f>VLOOKUP(Table13232[[#This Row],[Track]],$C$836:$E$882,2,FALSE)</f>
        <v>Vic</v>
      </c>
      <c r="K470" s="49">
        <v>100</v>
      </c>
      <c r="L470" s="45" t="str">
        <f>IF(Table13232[[#This Row],[Fin]]&lt;&gt;"1st","",Table13232[[#This Row],[Div]]*Table13232[[#This Row],[Lev Bet]])</f>
        <v/>
      </c>
      <c r="M470" s="45">
        <f>IF(Table13232[[#This Row],[Lev Ret]]="",Table13232[[#This Row],[Lev Bet]]*-1,L470-K470)</f>
        <v>-100</v>
      </c>
      <c r="N470" s="135">
        <v>150</v>
      </c>
      <c r="O470" s="135" t="str">
        <f>IF(Table13232[[#This Row],[Fin]]&lt;&gt;"1st","",Table13232[[#This Row],[Div]]*Table13232[[#This Row],[Nat and Combo Bet]])</f>
        <v/>
      </c>
      <c r="P470" s="135">
        <f>IF(Table13232[[#This Row],[Lev Ret]]="",Table13232[[#This Row],[Nat and Combo Bet]]*-1,O470-N470)</f>
        <v>-150</v>
      </c>
      <c r="Q470" s="50">
        <f t="shared" si="21"/>
        <v>1</v>
      </c>
      <c r="R470" s="50">
        <f>IF(AND(Q469=2,Q470=1),"",IF(Q470=2,(N470+N471)/2,IF(Table13232[[#This Row],[Dual Listing]]=1,Table13232[[#This Row],[Nat and Combo Bet]],11)))</f>
        <v>150</v>
      </c>
      <c r="S470" s="50" t="str">
        <f t="shared" si="22"/>
        <v/>
      </c>
      <c r="T470" s="50">
        <f t="shared" si="23"/>
        <v>-150</v>
      </c>
      <c r="U470" s="50" t="str">
        <f>IF(Table13232[[#This Row],[Date]]&lt;$U$4,"","Live")</f>
        <v/>
      </c>
      <c r="V470" s="45" t="str">
        <f>TEXT(Table13232[[#This Row],[Date]],"DDD")</f>
        <v>Sat</v>
      </c>
      <c r="W470" s="45" t="str">
        <f>PROPER(TRIM(Table13232[[#This Row],[Horse]]))</f>
        <v>The Creator</v>
      </c>
    </row>
    <row r="471" spans="1:23" x14ac:dyDescent="0.25">
      <c r="A471" s="43">
        <v>45906</v>
      </c>
      <c r="B471" s="44">
        <v>0.59027777777777779</v>
      </c>
      <c r="C471" s="44" t="s">
        <v>13</v>
      </c>
      <c r="D471" s="45">
        <v>5</v>
      </c>
      <c r="E471" s="45">
        <v>13</v>
      </c>
      <c r="F471" s="46" t="s">
        <v>463</v>
      </c>
      <c r="G471" s="46" t="s">
        <v>21</v>
      </c>
      <c r="H471" s="47">
        <v>3.9</v>
      </c>
      <c r="I471" s="52" t="s">
        <v>297</v>
      </c>
      <c r="J471" s="45" t="str">
        <f>VLOOKUP(Table13232[[#This Row],[Track]],$C$836:$E$882,2,FALSE)</f>
        <v>NSW</v>
      </c>
      <c r="K471" s="49">
        <v>100</v>
      </c>
      <c r="L471" s="45">
        <f>IF(Table13232[[#This Row],[Fin]]&lt;&gt;"1st","",Table13232[[#This Row],[Div]]*Table13232[[#This Row],[Lev Bet]])</f>
        <v>390</v>
      </c>
      <c r="M471" s="45">
        <f>IF(Table13232[[#This Row],[Lev Ret]]="",Table13232[[#This Row],[Lev Bet]]*-1,L471-K471)</f>
        <v>290</v>
      </c>
      <c r="N471" s="135">
        <v>150</v>
      </c>
      <c r="O471" s="135">
        <f>IF(Table13232[[#This Row],[Fin]]&lt;&gt;"1st","",Table13232[[#This Row],[Div]]*Table13232[[#This Row],[Nat and Combo Bet]])</f>
        <v>585</v>
      </c>
      <c r="P471" s="135">
        <f>IF(Table13232[[#This Row],[Lev Ret]]="",Table13232[[#This Row],[Nat and Combo Bet]]*-1,O471-N471)</f>
        <v>435</v>
      </c>
      <c r="Q471" s="50">
        <f t="shared" si="21"/>
        <v>1</v>
      </c>
      <c r="R471" s="50">
        <f>IF(AND(Q470=2,Q471=1),"",IF(Q471=2,(N471+N472)/2,IF(Table13232[[#This Row],[Dual Listing]]=1,Table13232[[#This Row],[Nat and Combo Bet]],11)))</f>
        <v>150</v>
      </c>
      <c r="S471" s="50">
        <f t="shared" si="22"/>
        <v>585</v>
      </c>
      <c r="T471" s="50">
        <f t="shared" si="23"/>
        <v>435</v>
      </c>
      <c r="U471" s="50" t="str">
        <f>IF(Table13232[[#This Row],[Date]]&lt;$U$4,"","Live")</f>
        <v/>
      </c>
      <c r="V471" s="45" t="str">
        <f>TEXT(Table13232[[#This Row],[Date]],"DDD")</f>
        <v>Sat</v>
      </c>
      <c r="W471" s="45" t="str">
        <f>PROPER(TRIM(Table13232[[#This Row],[Horse]]))</f>
        <v>Shohisha</v>
      </c>
    </row>
    <row r="472" spans="1:23" x14ac:dyDescent="0.25">
      <c r="A472" s="43">
        <v>45906</v>
      </c>
      <c r="B472" s="44">
        <v>0.59583333333333333</v>
      </c>
      <c r="C472" s="44" t="s">
        <v>9</v>
      </c>
      <c r="D472" s="45">
        <v>5</v>
      </c>
      <c r="E472" s="45">
        <v>15</v>
      </c>
      <c r="F472" s="46" t="s">
        <v>235</v>
      </c>
      <c r="G472" s="46"/>
      <c r="H472" s="47"/>
      <c r="I472" s="47" t="s">
        <v>298</v>
      </c>
      <c r="J472" s="45" t="str">
        <f>VLOOKUP(Table13232[[#This Row],[Track]],$C$836:$E$882,2,FALSE)</f>
        <v>Qld</v>
      </c>
      <c r="K472" s="49">
        <v>100</v>
      </c>
      <c r="L472" s="45" t="str">
        <f>IF(Table13232[[#This Row],[Fin]]&lt;&gt;"1st","",Table13232[[#This Row],[Div]]*Table13232[[#This Row],[Lev Bet]])</f>
        <v/>
      </c>
      <c r="M472" s="45">
        <f>IF(Table13232[[#This Row],[Lev Ret]]="",Table13232[[#This Row],[Lev Bet]]*-1,L472-K472)</f>
        <v>-100</v>
      </c>
      <c r="N472" s="135">
        <v>100</v>
      </c>
      <c r="O472" s="135" t="str">
        <f>IF(Table13232[[#This Row],[Fin]]&lt;&gt;"1st","",Table13232[[#This Row],[Div]]*Table13232[[#This Row],[Nat and Combo Bet]])</f>
        <v/>
      </c>
      <c r="P472" s="135">
        <f>IF(Table13232[[#This Row],[Lev Ret]]="",Table13232[[#This Row],[Nat and Combo Bet]]*-1,O472-N472)</f>
        <v>-100</v>
      </c>
      <c r="Q472" s="50">
        <f t="shared" si="21"/>
        <v>1</v>
      </c>
      <c r="R472" s="50">
        <f>IF(AND(Q471=2,Q472=1),"",IF(Q472=2,(N472+N473)/2,IF(Table13232[[#This Row],[Dual Listing]]=1,Table13232[[#This Row],[Nat and Combo Bet]],11)))</f>
        <v>100</v>
      </c>
      <c r="S472" s="50" t="str">
        <f t="shared" si="22"/>
        <v/>
      </c>
      <c r="T472" s="50">
        <f t="shared" si="23"/>
        <v>-100</v>
      </c>
      <c r="U472" s="50" t="str">
        <f>IF(Table13232[[#This Row],[Date]]&lt;$U$4,"","Live")</f>
        <v/>
      </c>
      <c r="V472" s="45" t="str">
        <f>TEXT(Table13232[[#This Row],[Date]],"DDD")</f>
        <v>Sat</v>
      </c>
      <c r="W472" s="45" t="str">
        <f>PROPER(TRIM(Table13232[[#This Row],[Horse]]))</f>
        <v>Kickatinalong</v>
      </c>
    </row>
    <row r="473" spans="1:23" x14ac:dyDescent="0.25">
      <c r="A473" s="43">
        <v>45906</v>
      </c>
      <c r="B473" s="44">
        <v>0.64444444444444449</v>
      </c>
      <c r="C473" s="44" t="s">
        <v>9</v>
      </c>
      <c r="D473" s="45">
        <v>7</v>
      </c>
      <c r="E473" s="45">
        <v>8</v>
      </c>
      <c r="F473" s="46" t="s">
        <v>236</v>
      </c>
      <c r="G473" s="46"/>
      <c r="H473" s="47"/>
      <c r="I473" s="47" t="s">
        <v>298</v>
      </c>
      <c r="J473" s="45" t="str">
        <f>VLOOKUP(Table13232[[#This Row],[Track]],$C$836:$E$882,2,FALSE)</f>
        <v>Qld</v>
      </c>
      <c r="K473" s="49">
        <v>100</v>
      </c>
      <c r="L473" s="45" t="str">
        <f>IF(Table13232[[#This Row],[Fin]]&lt;&gt;"1st","",Table13232[[#This Row],[Div]]*Table13232[[#This Row],[Lev Bet]])</f>
        <v/>
      </c>
      <c r="M473" s="45">
        <f>IF(Table13232[[#This Row],[Lev Ret]]="",Table13232[[#This Row],[Lev Bet]]*-1,L473-K473)</f>
        <v>-100</v>
      </c>
      <c r="N473" s="135">
        <v>100</v>
      </c>
      <c r="O473" s="135" t="str">
        <f>IF(Table13232[[#This Row],[Fin]]&lt;&gt;"1st","",Table13232[[#This Row],[Div]]*Table13232[[#This Row],[Nat and Combo Bet]])</f>
        <v/>
      </c>
      <c r="P473" s="135">
        <f>IF(Table13232[[#This Row],[Lev Ret]]="",Table13232[[#This Row],[Nat and Combo Bet]]*-1,O473-N473)</f>
        <v>-100</v>
      </c>
      <c r="Q473" s="50">
        <f t="shared" si="21"/>
        <v>1</v>
      </c>
      <c r="R473" s="50">
        <f>IF(AND(Q472=2,Q473=1),"",IF(Q473=2,(N473+N474)/2,IF(Table13232[[#This Row],[Dual Listing]]=1,Table13232[[#This Row],[Nat and Combo Bet]],11)))</f>
        <v>100</v>
      </c>
      <c r="S473" s="50" t="str">
        <f t="shared" si="22"/>
        <v/>
      </c>
      <c r="T473" s="50">
        <f t="shared" si="23"/>
        <v>-100</v>
      </c>
      <c r="U473" s="50" t="str">
        <f>IF(Table13232[[#This Row],[Date]]&lt;$U$4,"","Live")</f>
        <v/>
      </c>
      <c r="V473" s="45" t="str">
        <f>TEXT(Table13232[[#This Row],[Date]],"DDD")</f>
        <v>Sat</v>
      </c>
      <c r="W473" s="45" t="str">
        <f>PROPER(TRIM(Table13232[[#This Row],[Horse]]))</f>
        <v>Street Chase</v>
      </c>
    </row>
    <row r="474" spans="1:23" x14ac:dyDescent="0.25">
      <c r="A474" s="43">
        <v>45906</v>
      </c>
      <c r="B474" s="44">
        <v>0.67152777777777772</v>
      </c>
      <c r="C474" s="44" t="s">
        <v>9</v>
      </c>
      <c r="D474" s="45">
        <v>8</v>
      </c>
      <c r="E474" s="45">
        <v>3</v>
      </c>
      <c r="F474" s="46" t="s">
        <v>82</v>
      </c>
      <c r="G474" s="46" t="s">
        <v>21</v>
      </c>
      <c r="H474" s="47">
        <v>2.7</v>
      </c>
      <c r="I474" s="47" t="s">
        <v>298</v>
      </c>
      <c r="J474" s="45" t="str">
        <f>VLOOKUP(Table13232[[#This Row],[Track]],$C$836:$E$882,2,FALSE)</f>
        <v>Qld</v>
      </c>
      <c r="K474" s="49">
        <v>100</v>
      </c>
      <c r="L474" s="45">
        <f>IF(Table13232[[#This Row],[Fin]]&lt;&gt;"1st","",Table13232[[#This Row],[Div]]*Table13232[[#This Row],[Lev Bet]])</f>
        <v>270</v>
      </c>
      <c r="M474" s="45">
        <f>IF(Table13232[[#This Row],[Lev Ret]]="",Table13232[[#This Row],[Lev Bet]]*-1,L474-K474)</f>
        <v>170</v>
      </c>
      <c r="N474" s="135">
        <v>100</v>
      </c>
      <c r="O474" s="135">
        <f>IF(Table13232[[#This Row],[Fin]]&lt;&gt;"1st","",Table13232[[#This Row],[Div]]*Table13232[[#This Row],[Nat and Combo Bet]])</f>
        <v>270</v>
      </c>
      <c r="P474" s="135">
        <f>IF(Table13232[[#This Row],[Lev Ret]]="",Table13232[[#This Row],[Nat and Combo Bet]]*-1,O474-N474)</f>
        <v>170</v>
      </c>
      <c r="Q474" s="50">
        <f t="shared" si="21"/>
        <v>1</v>
      </c>
      <c r="R474" s="50">
        <f>IF(AND(Q473=2,Q474=1),"",IF(Q474=2,(N474+N475)/2,IF(Table13232[[#This Row],[Dual Listing]]=1,Table13232[[#This Row],[Nat and Combo Bet]],11)))</f>
        <v>100</v>
      </c>
      <c r="S474" s="50">
        <f t="shared" si="22"/>
        <v>270</v>
      </c>
      <c r="T474" s="50">
        <f t="shared" si="23"/>
        <v>170</v>
      </c>
      <c r="U474" s="50" t="str">
        <f>IF(Table13232[[#This Row],[Date]]&lt;$U$4,"","Live")</f>
        <v/>
      </c>
      <c r="V474" s="45" t="str">
        <f>TEXT(Table13232[[#This Row],[Date]],"DDD")</f>
        <v>Sat</v>
      </c>
      <c r="W474" s="45" t="str">
        <f>PROPER(TRIM(Table13232[[#This Row],[Horse]]))</f>
        <v>Weigall Tiger</v>
      </c>
    </row>
    <row r="475" spans="1:23" x14ac:dyDescent="0.25">
      <c r="A475" s="109">
        <v>45906</v>
      </c>
      <c r="B475" s="53">
        <v>0.67708333333333337</v>
      </c>
      <c r="C475" s="110" t="s">
        <v>36</v>
      </c>
      <c r="D475" s="111">
        <v>8</v>
      </c>
      <c r="E475" s="111">
        <v>4</v>
      </c>
      <c r="F475" s="112" t="s">
        <v>237</v>
      </c>
      <c r="G475" s="112" t="s">
        <v>21</v>
      </c>
      <c r="H475" s="113">
        <v>2.4</v>
      </c>
      <c r="I475" s="114" t="s">
        <v>297</v>
      </c>
      <c r="J475" s="45" t="str">
        <f>VLOOKUP(Table13232[[#This Row],[Track]],$C$836:$E$882,2,FALSE)</f>
        <v>Vic</v>
      </c>
      <c r="K475" s="55">
        <v>100</v>
      </c>
      <c r="L475" s="54">
        <f>IF(Table13232[[#This Row],[Fin]]&lt;&gt;"1st","",Table13232[[#This Row],[Div]]*Table13232[[#This Row],[Lev Bet]])</f>
        <v>240</v>
      </c>
      <c r="M475" s="54">
        <f>IF(Table13232[[#This Row],[Lev Ret]]="",Table13232[[#This Row],[Lev Bet]]*-1,L475-K475)</f>
        <v>140</v>
      </c>
      <c r="N475" s="135">
        <v>200</v>
      </c>
      <c r="O475" s="135">
        <f>IF(Table13232[[#This Row],[Fin]]&lt;&gt;"1st","",Table13232[[#This Row],[Div]]*Table13232[[#This Row],[Nat and Combo Bet]])</f>
        <v>480</v>
      </c>
      <c r="P475" s="135">
        <f>IF(Table13232[[#This Row],[Lev Ret]]="",Table13232[[#This Row],[Nat and Combo Bet]]*-1,O475-N475)</f>
        <v>280</v>
      </c>
      <c r="Q475" s="50">
        <f t="shared" si="21"/>
        <v>2</v>
      </c>
      <c r="R475" s="50">
        <f>IF(AND(Q474=2,Q475=1),"",IF(Q475=2,(N475+N476)/2,IF(Table13232[[#This Row],[Dual Listing]]=1,Table13232[[#This Row],[Nat and Combo Bet]],11)))</f>
        <v>200</v>
      </c>
      <c r="S475" s="50">
        <f t="shared" si="22"/>
        <v>480</v>
      </c>
      <c r="T475" s="50">
        <f t="shared" si="23"/>
        <v>280</v>
      </c>
      <c r="U475" s="50" t="str">
        <f>IF(Table13232[[#This Row],[Date]]&lt;$U$4,"","Live")</f>
        <v/>
      </c>
      <c r="V475" s="45" t="str">
        <f>TEXT(Table13232[[#This Row],[Date]],"DDD")</f>
        <v>Sat</v>
      </c>
      <c r="W475" s="45" t="str">
        <f>PROPER(TRIM(Table13232[[#This Row],[Horse]]))</f>
        <v>Desert Lightning</v>
      </c>
    </row>
    <row r="476" spans="1:23" x14ac:dyDescent="0.25">
      <c r="A476" s="109">
        <v>45906</v>
      </c>
      <c r="B476" s="53">
        <v>0.67708333333333337</v>
      </c>
      <c r="C476" s="110" t="s">
        <v>36</v>
      </c>
      <c r="D476" s="111">
        <v>8</v>
      </c>
      <c r="E476" s="111">
        <v>4</v>
      </c>
      <c r="F476" s="112" t="s">
        <v>237</v>
      </c>
      <c r="G476" s="112" t="s">
        <v>21</v>
      </c>
      <c r="H476" s="113">
        <v>2.4</v>
      </c>
      <c r="I476" s="113" t="s">
        <v>298</v>
      </c>
      <c r="J476" s="45" t="str">
        <f>VLOOKUP(Table13232[[#This Row],[Track]],$C$836:$E$882,2,FALSE)</f>
        <v>Vic</v>
      </c>
      <c r="K476" s="55">
        <v>100</v>
      </c>
      <c r="L476" s="54">
        <f>IF(Table13232[[#This Row],[Fin]]&lt;&gt;"1st","",Table13232[[#This Row],[Div]]*Table13232[[#This Row],[Lev Bet]])</f>
        <v>240</v>
      </c>
      <c r="M476" s="54">
        <f>IF(Table13232[[#This Row],[Lev Ret]]="",Table13232[[#This Row],[Lev Bet]]*-1,L476-K476)</f>
        <v>140</v>
      </c>
      <c r="N476" s="135">
        <v>200</v>
      </c>
      <c r="O476" s="135">
        <f>IF(Table13232[[#This Row],[Fin]]&lt;&gt;"1st","",Table13232[[#This Row],[Div]]*Table13232[[#This Row],[Nat and Combo Bet]])</f>
        <v>480</v>
      </c>
      <c r="P476" s="135">
        <f>IF(Table13232[[#This Row],[Lev Ret]]="",Table13232[[#This Row],[Nat and Combo Bet]]*-1,O476-N476)</f>
        <v>280</v>
      </c>
      <c r="Q476" s="50">
        <f t="shared" si="21"/>
        <v>1</v>
      </c>
      <c r="R476" s="50" t="str">
        <f>IF(AND(Q475=2,Q476=1),"",IF(Q476=2,(N476+N477)/2,IF(Table13232[[#This Row],[Dual Listing]]=1,Table13232[[#This Row],[Nat and Combo Bet]],11)))</f>
        <v/>
      </c>
      <c r="S476" s="50" t="str">
        <f t="shared" si="22"/>
        <v/>
      </c>
      <c r="T476" s="50" t="str">
        <f t="shared" si="23"/>
        <v/>
      </c>
      <c r="U476" s="50" t="str">
        <f>IF(Table13232[[#This Row],[Date]]&lt;$U$4,"","Live")</f>
        <v/>
      </c>
      <c r="V476" s="45" t="str">
        <f>TEXT(Table13232[[#This Row],[Date]],"DDD")</f>
        <v>Sat</v>
      </c>
      <c r="W476" s="45" t="str">
        <f>PROPER(TRIM(Table13232[[#This Row],[Horse]]))</f>
        <v>Desert Lightning</v>
      </c>
    </row>
    <row r="477" spans="1:23" x14ac:dyDescent="0.25">
      <c r="A477" s="43">
        <v>45906</v>
      </c>
      <c r="B477" s="44">
        <v>0.69652777777777775</v>
      </c>
      <c r="C477" s="44" t="s">
        <v>9</v>
      </c>
      <c r="D477" s="45">
        <v>9</v>
      </c>
      <c r="E477" s="45">
        <v>5</v>
      </c>
      <c r="F477" s="46" t="s">
        <v>238</v>
      </c>
      <c r="G477" s="46" t="s">
        <v>21</v>
      </c>
      <c r="H477" s="47">
        <v>3.2</v>
      </c>
      <c r="I477" s="47" t="s">
        <v>298</v>
      </c>
      <c r="J477" s="45" t="str">
        <f>VLOOKUP(Table13232[[#This Row],[Track]],$C$836:$E$882,2,FALSE)</f>
        <v>Qld</v>
      </c>
      <c r="K477" s="49">
        <v>100</v>
      </c>
      <c r="L477" s="45">
        <f>IF(Table13232[[#This Row],[Fin]]&lt;&gt;"1st","",Table13232[[#This Row],[Div]]*Table13232[[#This Row],[Lev Bet]])</f>
        <v>320</v>
      </c>
      <c r="M477" s="45">
        <f>IF(Table13232[[#This Row],[Lev Ret]]="",Table13232[[#This Row],[Lev Bet]]*-1,L477-K477)</f>
        <v>220</v>
      </c>
      <c r="N477" s="135">
        <v>100</v>
      </c>
      <c r="O477" s="135">
        <f>IF(Table13232[[#This Row],[Fin]]&lt;&gt;"1st","",Table13232[[#This Row],[Div]]*Table13232[[#This Row],[Nat and Combo Bet]])</f>
        <v>320</v>
      </c>
      <c r="P477" s="135">
        <f>IF(Table13232[[#This Row],[Lev Ret]]="",Table13232[[#This Row],[Nat and Combo Bet]]*-1,O477-N477)</f>
        <v>220</v>
      </c>
      <c r="Q477" s="50">
        <f t="shared" si="21"/>
        <v>1</v>
      </c>
      <c r="R477" s="50">
        <f>IF(AND(Q476=2,Q477=1),"",IF(Q477=2,(N477+N478)/2,IF(Table13232[[#This Row],[Dual Listing]]=1,Table13232[[#This Row],[Nat and Combo Bet]],11)))</f>
        <v>100</v>
      </c>
      <c r="S477" s="50">
        <f t="shared" si="22"/>
        <v>320</v>
      </c>
      <c r="T477" s="50">
        <f t="shared" si="23"/>
        <v>220</v>
      </c>
      <c r="U477" s="50" t="str">
        <f>IF(Table13232[[#This Row],[Date]]&lt;$U$4,"","Live")</f>
        <v/>
      </c>
      <c r="V477" s="45" t="str">
        <f>TEXT(Table13232[[#This Row],[Date]],"DDD")</f>
        <v>Sat</v>
      </c>
      <c r="W477" s="45" t="str">
        <f>PROPER(TRIM(Table13232[[#This Row],[Horse]]))</f>
        <v>About To Explode</v>
      </c>
    </row>
    <row r="478" spans="1:23" x14ac:dyDescent="0.25">
      <c r="A478" s="43">
        <v>45906</v>
      </c>
      <c r="B478" s="44">
        <v>0.70138888888888884</v>
      </c>
      <c r="C478" s="44" t="s">
        <v>36</v>
      </c>
      <c r="D478" s="45">
        <v>9</v>
      </c>
      <c r="E478" s="45">
        <v>7</v>
      </c>
      <c r="F478" s="46" t="s">
        <v>464</v>
      </c>
      <c r="G478" s="46" t="s">
        <v>21</v>
      </c>
      <c r="H478" s="47">
        <v>6.5</v>
      </c>
      <c r="I478" s="52" t="s">
        <v>297</v>
      </c>
      <c r="J478" s="45" t="str">
        <f>VLOOKUP(Table13232[[#This Row],[Track]],$C$836:$E$882,2,FALSE)</f>
        <v>Vic</v>
      </c>
      <c r="K478" s="49">
        <v>100</v>
      </c>
      <c r="L478" s="45">
        <f>IF(Table13232[[#This Row],[Fin]]&lt;&gt;"1st","",Table13232[[#This Row],[Div]]*Table13232[[#This Row],[Lev Bet]])</f>
        <v>650</v>
      </c>
      <c r="M478" s="45">
        <f>IF(Table13232[[#This Row],[Lev Ret]]="",Table13232[[#This Row],[Lev Bet]]*-1,L478-K478)</f>
        <v>550</v>
      </c>
      <c r="N478" s="135">
        <v>160</v>
      </c>
      <c r="O478" s="135">
        <f>IF(Table13232[[#This Row],[Fin]]&lt;&gt;"1st","",Table13232[[#This Row],[Div]]*Table13232[[#This Row],[Nat and Combo Bet]])</f>
        <v>1040</v>
      </c>
      <c r="P478" s="135">
        <f>IF(Table13232[[#This Row],[Lev Ret]]="",Table13232[[#This Row],[Nat and Combo Bet]]*-1,O478-N478)</f>
        <v>880</v>
      </c>
      <c r="Q478" s="50">
        <f t="shared" si="21"/>
        <v>1</v>
      </c>
      <c r="R478" s="50">
        <f>IF(AND(Q477=2,Q478=1),"",IF(Q478=2,(N478+N479)/2,IF(Table13232[[#This Row],[Dual Listing]]=1,Table13232[[#This Row],[Nat and Combo Bet]],11)))</f>
        <v>160</v>
      </c>
      <c r="S478" s="50">
        <f t="shared" si="22"/>
        <v>1040</v>
      </c>
      <c r="T478" s="50">
        <f t="shared" si="23"/>
        <v>880</v>
      </c>
      <c r="U478" s="50" t="str">
        <f>IF(Table13232[[#This Row],[Date]]&lt;$U$4,"","Live")</f>
        <v/>
      </c>
      <c r="V478" s="45" t="str">
        <f>TEXT(Table13232[[#This Row],[Date]],"DDD")</f>
        <v>Sat</v>
      </c>
      <c r="W478" s="45" t="str">
        <f>PROPER(TRIM(Table13232[[#This Row],[Horse]]))</f>
        <v>Baraqiel</v>
      </c>
    </row>
    <row r="479" spans="1:23" x14ac:dyDescent="0.25">
      <c r="A479" s="43">
        <v>45906</v>
      </c>
      <c r="B479" s="44">
        <v>0.70138888888888884</v>
      </c>
      <c r="C479" s="44" t="s">
        <v>36</v>
      </c>
      <c r="D479" s="45">
        <v>9</v>
      </c>
      <c r="E479" s="45">
        <v>16</v>
      </c>
      <c r="F479" s="46" t="s">
        <v>465</v>
      </c>
      <c r="G479" s="46"/>
      <c r="H479" s="47"/>
      <c r="I479" s="52" t="s">
        <v>297</v>
      </c>
      <c r="J479" s="45" t="str">
        <f>VLOOKUP(Table13232[[#This Row],[Track]],$C$836:$E$882,2,FALSE)</f>
        <v>Vic</v>
      </c>
      <c r="K479" s="49">
        <v>100</v>
      </c>
      <c r="L479" s="45" t="str">
        <f>IF(Table13232[[#This Row],[Fin]]&lt;&gt;"1st","",Table13232[[#This Row],[Div]]*Table13232[[#This Row],[Lev Bet]])</f>
        <v/>
      </c>
      <c r="M479" s="45">
        <f>IF(Table13232[[#This Row],[Lev Ret]]="",Table13232[[#This Row],[Lev Bet]]*-1,L479-K479)</f>
        <v>-100</v>
      </c>
      <c r="N479" s="135">
        <v>150</v>
      </c>
      <c r="O479" s="135" t="str">
        <f>IF(Table13232[[#This Row],[Fin]]&lt;&gt;"1st","",Table13232[[#This Row],[Div]]*Table13232[[#This Row],[Nat and Combo Bet]])</f>
        <v/>
      </c>
      <c r="P479" s="135">
        <f>IF(Table13232[[#This Row],[Lev Ret]]="",Table13232[[#This Row],[Nat and Combo Bet]]*-1,O479-N479)</f>
        <v>-150</v>
      </c>
      <c r="Q479" s="50">
        <f t="shared" si="21"/>
        <v>1</v>
      </c>
      <c r="R479" s="50">
        <f>IF(AND(Q478=2,Q479=1),"",IF(Q479=2,(N479+N480)/2,IF(Table13232[[#This Row],[Dual Listing]]=1,Table13232[[#This Row],[Nat and Combo Bet]],11)))</f>
        <v>150</v>
      </c>
      <c r="S479" s="50" t="str">
        <f t="shared" si="22"/>
        <v/>
      </c>
      <c r="T479" s="50">
        <f t="shared" si="23"/>
        <v>-150</v>
      </c>
      <c r="U479" s="50" t="str">
        <f>IF(Table13232[[#This Row],[Date]]&lt;$U$4,"","Live")</f>
        <v/>
      </c>
      <c r="V479" s="45" t="str">
        <f>TEXT(Table13232[[#This Row],[Date]],"DDD")</f>
        <v>Sat</v>
      </c>
      <c r="W479" s="45" t="str">
        <f>PROPER(TRIM(Table13232[[#This Row],[Horse]]))</f>
        <v>Esha</v>
      </c>
    </row>
    <row r="480" spans="1:23" x14ac:dyDescent="0.25">
      <c r="A480" s="43">
        <v>45906</v>
      </c>
      <c r="B480" s="44">
        <v>0.72569444444444442</v>
      </c>
      <c r="C480" s="44" t="s">
        <v>36</v>
      </c>
      <c r="D480" s="45">
        <v>10</v>
      </c>
      <c r="E480" s="45">
        <v>3</v>
      </c>
      <c r="F480" s="46" t="s">
        <v>165</v>
      </c>
      <c r="G480" s="46" t="s">
        <v>22</v>
      </c>
      <c r="H480" s="47"/>
      <c r="I480" s="47" t="s">
        <v>298</v>
      </c>
      <c r="J480" s="45" t="str">
        <f>VLOOKUP(Table13232[[#This Row],[Track]],$C$836:$E$882,2,FALSE)</f>
        <v>Vic</v>
      </c>
      <c r="K480" s="49">
        <v>100</v>
      </c>
      <c r="L480" s="45" t="str">
        <f>IF(Table13232[[#This Row],[Fin]]&lt;&gt;"1st","",Table13232[[#This Row],[Div]]*Table13232[[#This Row],[Lev Bet]])</f>
        <v/>
      </c>
      <c r="M480" s="45">
        <f>IF(Table13232[[#This Row],[Lev Ret]]="",Table13232[[#This Row],[Lev Bet]]*-1,L480-K480)</f>
        <v>-100</v>
      </c>
      <c r="N480" s="135">
        <v>200</v>
      </c>
      <c r="O480" s="135" t="str">
        <f>IF(Table13232[[#This Row],[Fin]]&lt;&gt;"1st","",Table13232[[#This Row],[Div]]*Table13232[[#This Row],[Nat and Combo Bet]])</f>
        <v/>
      </c>
      <c r="P480" s="135">
        <f>IF(Table13232[[#This Row],[Lev Ret]]="",Table13232[[#This Row],[Nat and Combo Bet]]*-1,O480-N480)</f>
        <v>-200</v>
      </c>
      <c r="Q480" s="50">
        <f t="shared" si="21"/>
        <v>1</v>
      </c>
      <c r="R480" s="50">
        <f>IF(AND(Q479=2,Q480=1),"",IF(Q480=2,(N480+N481)/2,IF(Table13232[[#This Row],[Dual Listing]]=1,Table13232[[#This Row],[Nat and Combo Bet]],11)))</f>
        <v>200</v>
      </c>
      <c r="S480" s="50" t="str">
        <f t="shared" si="22"/>
        <v/>
      </c>
      <c r="T480" s="50">
        <f t="shared" si="23"/>
        <v>-200</v>
      </c>
      <c r="U480" s="50" t="str">
        <f>IF(Table13232[[#This Row],[Date]]&lt;$U$4,"","Live")</f>
        <v/>
      </c>
      <c r="V480" s="45" t="str">
        <f>TEXT(Table13232[[#This Row],[Date]],"DDD")</f>
        <v>Sat</v>
      </c>
      <c r="W480" s="45" t="str">
        <f>PROPER(TRIM(Table13232[[#This Row],[Horse]]))</f>
        <v>King Zephyr</v>
      </c>
    </row>
    <row r="481" spans="1:23" x14ac:dyDescent="0.25">
      <c r="A481" s="43">
        <v>45913</v>
      </c>
      <c r="B481" s="44">
        <v>0.49861111111111112</v>
      </c>
      <c r="C481" s="44" t="s">
        <v>9</v>
      </c>
      <c r="D481" s="45">
        <v>1</v>
      </c>
      <c r="E481" s="45">
        <v>3</v>
      </c>
      <c r="F481" s="46" t="s">
        <v>239</v>
      </c>
      <c r="G481" s="46" t="s">
        <v>23</v>
      </c>
      <c r="H481" s="47"/>
      <c r="I481" s="47" t="s">
        <v>298</v>
      </c>
      <c r="J481" s="45" t="str">
        <f>VLOOKUP(Table13232[[#This Row],[Track]],$C$836:$E$882,2,FALSE)</f>
        <v>Qld</v>
      </c>
      <c r="K481" s="49">
        <v>100</v>
      </c>
      <c r="L481" s="45" t="str">
        <f>IF(Table13232[[#This Row],[Fin]]&lt;&gt;"1st","",Table13232[[#This Row],[Div]]*Table13232[[#This Row],[Lev Bet]])</f>
        <v/>
      </c>
      <c r="M481" s="45">
        <f>IF(Table13232[[#This Row],[Lev Ret]]="",Table13232[[#This Row],[Lev Bet]]*-1,L481-K481)</f>
        <v>-100</v>
      </c>
      <c r="N481" s="135">
        <v>100</v>
      </c>
      <c r="O481" s="135" t="str">
        <f>IF(Table13232[[#This Row],[Fin]]&lt;&gt;"1st","",Table13232[[#This Row],[Div]]*Table13232[[#This Row],[Nat and Combo Bet]])</f>
        <v/>
      </c>
      <c r="P481" s="135">
        <f>IF(Table13232[[#This Row],[Lev Ret]]="",Table13232[[#This Row],[Nat and Combo Bet]]*-1,O481-N481)</f>
        <v>-100</v>
      </c>
      <c r="Q481" s="50">
        <f t="shared" si="21"/>
        <v>1</v>
      </c>
      <c r="R481" s="50">
        <f>IF(AND(Q480=2,Q481=1),"",IF(Q481=2,(N481+N482)/2,IF(Table13232[[#This Row],[Dual Listing]]=1,Table13232[[#This Row],[Nat and Combo Bet]],11)))</f>
        <v>100</v>
      </c>
      <c r="S481" s="50" t="str">
        <f t="shared" si="22"/>
        <v/>
      </c>
      <c r="T481" s="50">
        <f t="shared" si="23"/>
        <v>-100</v>
      </c>
      <c r="U481" s="50" t="str">
        <f>IF(Table13232[[#This Row],[Date]]&lt;$U$4,"","Live")</f>
        <v/>
      </c>
      <c r="V481" s="45" t="str">
        <f>TEXT(Table13232[[#This Row],[Date]],"DDD")</f>
        <v>Sat</v>
      </c>
      <c r="W481" s="45" t="str">
        <f>PROPER(TRIM(Table13232[[#This Row],[Horse]]))</f>
        <v>Alectrona</v>
      </c>
    </row>
    <row r="482" spans="1:23" x14ac:dyDescent="0.25">
      <c r="A482" s="43">
        <v>45913</v>
      </c>
      <c r="B482" s="44">
        <v>0.54166666666666663</v>
      </c>
      <c r="C482" s="44" t="s">
        <v>11</v>
      </c>
      <c r="D482" s="45">
        <v>3</v>
      </c>
      <c r="E482" s="45">
        <v>4</v>
      </c>
      <c r="F482" s="46" t="s">
        <v>240</v>
      </c>
      <c r="G482" s="46" t="s">
        <v>22</v>
      </c>
      <c r="H482" s="47"/>
      <c r="I482" s="47" t="s">
        <v>298</v>
      </c>
      <c r="J482" s="45" t="str">
        <f>VLOOKUP(Table13232[[#This Row],[Track]],$C$836:$E$882,2,FALSE)</f>
        <v>NSW</v>
      </c>
      <c r="K482" s="49">
        <v>100</v>
      </c>
      <c r="L482" s="45" t="str">
        <f>IF(Table13232[[#This Row],[Fin]]&lt;&gt;"1st","",Table13232[[#This Row],[Div]]*Table13232[[#This Row],[Lev Bet]])</f>
        <v/>
      </c>
      <c r="M482" s="45">
        <f>IF(Table13232[[#This Row],[Lev Ret]]="",Table13232[[#This Row],[Lev Bet]]*-1,L482-K482)</f>
        <v>-100</v>
      </c>
      <c r="N482" s="135">
        <v>150</v>
      </c>
      <c r="O482" s="135" t="str">
        <f>IF(Table13232[[#This Row],[Fin]]&lt;&gt;"1st","",Table13232[[#This Row],[Div]]*Table13232[[#This Row],[Nat and Combo Bet]])</f>
        <v/>
      </c>
      <c r="P482" s="135">
        <f>IF(Table13232[[#This Row],[Lev Ret]]="",Table13232[[#This Row],[Nat and Combo Bet]]*-1,O482-N482)</f>
        <v>-150</v>
      </c>
      <c r="Q482" s="50">
        <f t="shared" si="21"/>
        <v>1</v>
      </c>
      <c r="R482" s="50">
        <f>IF(AND(Q481=2,Q482=1),"",IF(Q482=2,(N482+N483)/2,IF(Table13232[[#This Row],[Dual Listing]]=1,Table13232[[#This Row],[Nat and Combo Bet]],11)))</f>
        <v>150</v>
      </c>
      <c r="S482" s="50" t="str">
        <f t="shared" si="22"/>
        <v/>
      </c>
      <c r="T482" s="50">
        <f t="shared" si="23"/>
        <v>-150</v>
      </c>
      <c r="U482" s="50" t="str">
        <f>IF(Table13232[[#This Row],[Date]]&lt;$U$4,"","Live")</f>
        <v/>
      </c>
      <c r="V482" s="45" t="str">
        <f>TEXT(Table13232[[#This Row],[Date]],"DDD")</f>
        <v>Sat</v>
      </c>
      <c r="W482" s="45" t="str">
        <f>PROPER(TRIM(Table13232[[#This Row],[Horse]]))</f>
        <v>Tazima</v>
      </c>
    </row>
    <row r="483" spans="1:23" x14ac:dyDescent="0.25">
      <c r="A483" s="43">
        <v>45913</v>
      </c>
      <c r="B483" s="44">
        <v>0.56597222222222221</v>
      </c>
      <c r="C483" s="44" t="s">
        <v>11</v>
      </c>
      <c r="D483" s="45">
        <v>4</v>
      </c>
      <c r="E483" s="45">
        <v>10</v>
      </c>
      <c r="F483" s="46" t="s">
        <v>466</v>
      </c>
      <c r="G483" s="46" t="s">
        <v>22</v>
      </c>
      <c r="H483" s="47"/>
      <c r="I483" s="52" t="s">
        <v>297</v>
      </c>
      <c r="J483" s="45" t="str">
        <f>VLOOKUP(Table13232[[#This Row],[Track]],$C$836:$E$882,2,FALSE)</f>
        <v>NSW</v>
      </c>
      <c r="K483" s="49">
        <v>100</v>
      </c>
      <c r="L483" s="45" t="str">
        <f>IF(Table13232[[#This Row],[Fin]]&lt;&gt;"1st","",Table13232[[#This Row],[Div]]*Table13232[[#This Row],[Lev Bet]])</f>
        <v/>
      </c>
      <c r="M483" s="45">
        <f>IF(Table13232[[#This Row],[Lev Ret]]="",Table13232[[#This Row],[Lev Bet]]*-1,L483-K483)</f>
        <v>-100</v>
      </c>
      <c r="N483" s="135">
        <v>100</v>
      </c>
      <c r="O483" s="135" t="str">
        <f>IF(Table13232[[#This Row],[Fin]]&lt;&gt;"1st","",Table13232[[#This Row],[Div]]*Table13232[[#This Row],[Nat and Combo Bet]])</f>
        <v/>
      </c>
      <c r="P483" s="135">
        <f>IF(Table13232[[#This Row],[Lev Ret]]="",Table13232[[#This Row],[Nat and Combo Bet]]*-1,O483-N483)</f>
        <v>-100</v>
      </c>
      <c r="Q483" s="50">
        <f t="shared" si="21"/>
        <v>1</v>
      </c>
      <c r="R483" s="50">
        <f>IF(AND(Q482=2,Q483=1),"",IF(Q483=2,(N483+N484)/2,IF(Table13232[[#This Row],[Dual Listing]]=1,Table13232[[#This Row],[Nat and Combo Bet]],11)))</f>
        <v>100</v>
      </c>
      <c r="S483" s="50" t="str">
        <f t="shared" si="22"/>
        <v/>
      </c>
      <c r="T483" s="50">
        <f t="shared" si="23"/>
        <v>-100</v>
      </c>
      <c r="U483" s="50" t="str">
        <f>IF(Table13232[[#This Row],[Date]]&lt;$U$4,"","Live")</f>
        <v/>
      </c>
      <c r="V483" s="45" t="str">
        <f>TEXT(Table13232[[#This Row],[Date]],"DDD")</f>
        <v>Sat</v>
      </c>
      <c r="W483" s="45" t="str">
        <f>PROPER(TRIM(Table13232[[#This Row],[Horse]]))</f>
        <v>The Years</v>
      </c>
    </row>
    <row r="484" spans="1:23" x14ac:dyDescent="0.25">
      <c r="A484" s="43">
        <v>45913</v>
      </c>
      <c r="B484" s="44">
        <v>0.57152777777777775</v>
      </c>
      <c r="C484" s="44" t="s">
        <v>9</v>
      </c>
      <c r="D484" s="45">
        <v>4</v>
      </c>
      <c r="E484" s="45">
        <v>14</v>
      </c>
      <c r="F484" s="46" t="s">
        <v>241</v>
      </c>
      <c r="G484" s="46"/>
      <c r="H484" s="47"/>
      <c r="I484" s="47" t="s">
        <v>298</v>
      </c>
      <c r="J484" s="45" t="str">
        <f>VLOOKUP(Table13232[[#This Row],[Track]],$C$836:$E$882,2,FALSE)</f>
        <v>Qld</v>
      </c>
      <c r="K484" s="49">
        <v>100</v>
      </c>
      <c r="L484" s="45" t="str">
        <f>IF(Table13232[[#This Row],[Fin]]&lt;&gt;"1st","",Table13232[[#This Row],[Div]]*Table13232[[#This Row],[Lev Bet]])</f>
        <v/>
      </c>
      <c r="M484" s="45">
        <f>IF(Table13232[[#This Row],[Lev Ret]]="",Table13232[[#This Row],[Lev Bet]]*-1,L484-K484)</f>
        <v>-100</v>
      </c>
      <c r="N484" s="135">
        <v>100</v>
      </c>
      <c r="O484" s="135" t="str">
        <f>IF(Table13232[[#This Row],[Fin]]&lt;&gt;"1st","",Table13232[[#This Row],[Div]]*Table13232[[#This Row],[Nat and Combo Bet]])</f>
        <v/>
      </c>
      <c r="P484" s="135">
        <f>IF(Table13232[[#This Row],[Lev Ret]]="",Table13232[[#This Row],[Nat and Combo Bet]]*-1,O484-N484)</f>
        <v>-100</v>
      </c>
      <c r="Q484" s="50">
        <f t="shared" si="21"/>
        <v>1</v>
      </c>
      <c r="R484" s="50">
        <f>IF(AND(Q483=2,Q484=1),"",IF(Q484=2,(N484+N485)/2,IF(Table13232[[#This Row],[Dual Listing]]=1,Table13232[[#This Row],[Nat and Combo Bet]],11)))</f>
        <v>100</v>
      </c>
      <c r="S484" s="50" t="str">
        <f t="shared" si="22"/>
        <v/>
      </c>
      <c r="T484" s="50">
        <f t="shared" si="23"/>
        <v>-100</v>
      </c>
      <c r="U484" s="50" t="str">
        <f>IF(Table13232[[#This Row],[Date]]&lt;$U$4,"","Live")</f>
        <v/>
      </c>
      <c r="V484" s="45" t="str">
        <f>TEXT(Table13232[[#This Row],[Date]],"DDD")</f>
        <v>Sat</v>
      </c>
      <c r="W484" s="45" t="str">
        <f>PROPER(TRIM(Table13232[[#This Row],[Horse]]))</f>
        <v>Shes Exotic</v>
      </c>
    </row>
    <row r="485" spans="1:23" x14ac:dyDescent="0.25">
      <c r="A485" s="43">
        <v>45913</v>
      </c>
      <c r="B485" s="44">
        <v>0.59375</v>
      </c>
      <c r="C485" s="44" t="s">
        <v>11</v>
      </c>
      <c r="D485" s="45">
        <v>5</v>
      </c>
      <c r="E485" s="45">
        <v>9</v>
      </c>
      <c r="F485" s="46" t="s">
        <v>111</v>
      </c>
      <c r="G485" s="46" t="s">
        <v>23</v>
      </c>
      <c r="H485" s="47"/>
      <c r="I485" s="47" t="s">
        <v>298</v>
      </c>
      <c r="J485" s="45" t="str">
        <f>VLOOKUP(Table13232[[#This Row],[Track]],$C$836:$E$882,2,FALSE)</f>
        <v>NSW</v>
      </c>
      <c r="K485" s="49">
        <v>100</v>
      </c>
      <c r="L485" s="45" t="str">
        <f>IF(Table13232[[#This Row],[Fin]]&lt;&gt;"1st","",Table13232[[#This Row],[Div]]*Table13232[[#This Row],[Lev Bet]])</f>
        <v/>
      </c>
      <c r="M485" s="45">
        <f>IF(Table13232[[#This Row],[Lev Ret]]="",Table13232[[#This Row],[Lev Bet]]*-1,L485-K485)</f>
        <v>-100</v>
      </c>
      <c r="N485" s="135">
        <v>150</v>
      </c>
      <c r="O485" s="135" t="str">
        <f>IF(Table13232[[#This Row],[Fin]]&lt;&gt;"1st","",Table13232[[#This Row],[Div]]*Table13232[[#This Row],[Nat and Combo Bet]])</f>
        <v/>
      </c>
      <c r="P485" s="135">
        <f>IF(Table13232[[#This Row],[Lev Ret]]="",Table13232[[#This Row],[Nat and Combo Bet]]*-1,O485-N485)</f>
        <v>-150</v>
      </c>
      <c r="Q485" s="50">
        <f t="shared" si="21"/>
        <v>1</v>
      </c>
      <c r="R485" s="50">
        <f>IF(AND(Q484=2,Q485=1),"",IF(Q485=2,(N485+N486)/2,IF(Table13232[[#This Row],[Dual Listing]]=1,Table13232[[#This Row],[Nat and Combo Bet]],11)))</f>
        <v>150</v>
      </c>
      <c r="S485" s="50" t="str">
        <f t="shared" si="22"/>
        <v/>
      </c>
      <c r="T485" s="50">
        <f t="shared" si="23"/>
        <v>-150</v>
      </c>
      <c r="U485" s="50" t="str">
        <f>IF(Table13232[[#This Row],[Date]]&lt;$U$4,"","Live")</f>
        <v/>
      </c>
      <c r="V485" s="45" t="str">
        <f>TEXT(Table13232[[#This Row],[Date]],"DDD")</f>
        <v>Sat</v>
      </c>
      <c r="W485" s="45" t="str">
        <f>PROPER(TRIM(Table13232[[#This Row],[Horse]]))</f>
        <v>Catch The Glory</v>
      </c>
    </row>
    <row r="486" spans="1:23" x14ac:dyDescent="0.25">
      <c r="A486" s="43">
        <v>45913</v>
      </c>
      <c r="B486" s="44">
        <v>0.59375</v>
      </c>
      <c r="C486" s="44" t="s">
        <v>11</v>
      </c>
      <c r="D486" s="45">
        <v>5</v>
      </c>
      <c r="E486" s="45">
        <v>5</v>
      </c>
      <c r="F486" s="46" t="s">
        <v>183</v>
      </c>
      <c r="G486" s="46" t="s">
        <v>22</v>
      </c>
      <c r="H486" s="47"/>
      <c r="I486" s="52" t="s">
        <v>297</v>
      </c>
      <c r="J486" s="45" t="str">
        <f>VLOOKUP(Table13232[[#This Row],[Track]],$C$836:$E$882,2,FALSE)</f>
        <v>NSW</v>
      </c>
      <c r="K486" s="49">
        <v>100</v>
      </c>
      <c r="L486" s="45" t="str">
        <f>IF(Table13232[[#This Row],[Fin]]&lt;&gt;"1st","",Table13232[[#This Row],[Div]]*Table13232[[#This Row],[Lev Bet]])</f>
        <v/>
      </c>
      <c r="M486" s="45">
        <f>IF(Table13232[[#This Row],[Lev Ret]]="",Table13232[[#This Row],[Lev Bet]]*-1,L486-K486)</f>
        <v>-100</v>
      </c>
      <c r="N486" s="135">
        <v>150</v>
      </c>
      <c r="O486" s="135" t="str">
        <f>IF(Table13232[[#This Row],[Fin]]&lt;&gt;"1st","",Table13232[[#This Row],[Div]]*Table13232[[#This Row],[Nat and Combo Bet]])</f>
        <v/>
      </c>
      <c r="P486" s="135">
        <f>IF(Table13232[[#This Row],[Lev Ret]]="",Table13232[[#This Row],[Nat and Combo Bet]]*-1,O486-N486)</f>
        <v>-150</v>
      </c>
      <c r="Q486" s="50">
        <f t="shared" si="21"/>
        <v>1</v>
      </c>
      <c r="R486" s="50">
        <f>IF(AND(Q485=2,Q486=1),"",IF(Q486=2,(N486+N487)/2,IF(Table13232[[#This Row],[Dual Listing]]=1,Table13232[[#This Row],[Nat and Combo Bet]],11)))</f>
        <v>150</v>
      </c>
      <c r="S486" s="50" t="str">
        <f t="shared" si="22"/>
        <v/>
      </c>
      <c r="T486" s="50">
        <f t="shared" si="23"/>
        <v>-150</v>
      </c>
      <c r="U486" s="50" t="str">
        <f>IF(Table13232[[#This Row],[Date]]&lt;$U$4,"","Live")</f>
        <v/>
      </c>
      <c r="V486" s="45" t="str">
        <f>TEXT(Table13232[[#This Row],[Date]],"DDD")</f>
        <v>Sat</v>
      </c>
      <c r="W486" s="45" t="str">
        <f>PROPER(TRIM(Table13232[[#This Row],[Horse]]))</f>
        <v>Kerguelen</v>
      </c>
    </row>
    <row r="487" spans="1:23" x14ac:dyDescent="0.25">
      <c r="A487" s="43">
        <v>45913</v>
      </c>
      <c r="B487" s="44">
        <v>0.59930555555555554</v>
      </c>
      <c r="C487" s="44" t="s">
        <v>9</v>
      </c>
      <c r="D487" s="45">
        <v>5</v>
      </c>
      <c r="E487" s="45">
        <v>12</v>
      </c>
      <c r="F487" s="46" t="s">
        <v>132</v>
      </c>
      <c r="G487" s="46" t="s">
        <v>23</v>
      </c>
      <c r="H487" s="47"/>
      <c r="I487" s="47" t="s">
        <v>298</v>
      </c>
      <c r="J487" s="45" t="str">
        <f>VLOOKUP(Table13232[[#This Row],[Track]],$C$836:$E$882,2,FALSE)</f>
        <v>Qld</v>
      </c>
      <c r="K487" s="49">
        <v>100</v>
      </c>
      <c r="L487" s="45" t="str">
        <f>IF(Table13232[[#This Row],[Fin]]&lt;&gt;"1st","",Table13232[[#This Row],[Div]]*Table13232[[#This Row],[Lev Bet]])</f>
        <v/>
      </c>
      <c r="M487" s="45">
        <f>IF(Table13232[[#This Row],[Lev Ret]]="",Table13232[[#This Row],[Lev Bet]]*-1,L487-K487)</f>
        <v>-100</v>
      </c>
      <c r="N487" s="135">
        <v>100</v>
      </c>
      <c r="O487" s="135" t="str">
        <f>IF(Table13232[[#This Row],[Fin]]&lt;&gt;"1st","",Table13232[[#This Row],[Div]]*Table13232[[#This Row],[Nat and Combo Bet]])</f>
        <v/>
      </c>
      <c r="P487" s="135">
        <f>IF(Table13232[[#This Row],[Lev Ret]]="",Table13232[[#This Row],[Nat and Combo Bet]]*-1,O487-N487)</f>
        <v>-100</v>
      </c>
      <c r="Q487" s="50">
        <f t="shared" si="21"/>
        <v>1</v>
      </c>
      <c r="R487" s="50">
        <f>IF(AND(Q486=2,Q487=1),"",IF(Q487=2,(N487+N488)/2,IF(Table13232[[#This Row],[Dual Listing]]=1,Table13232[[#This Row],[Nat and Combo Bet]],11)))</f>
        <v>100</v>
      </c>
      <c r="S487" s="50" t="str">
        <f t="shared" si="22"/>
        <v/>
      </c>
      <c r="T487" s="50">
        <f t="shared" si="23"/>
        <v>-100</v>
      </c>
      <c r="U487" s="50" t="str">
        <f>IF(Table13232[[#This Row],[Date]]&lt;$U$4,"","Live")</f>
        <v/>
      </c>
      <c r="V487" s="45" t="str">
        <f>TEXT(Table13232[[#This Row],[Date]],"DDD")</f>
        <v>Sat</v>
      </c>
      <c r="W487" s="45" t="str">
        <f>PROPER(TRIM(Table13232[[#This Row],[Horse]]))</f>
        <v>Ouroboros</v>
      </c>
    </row>
    <row r="488" spans="1:23" x14ac:dyDescent="0.25">
      <c r="A488" s="43">
        <v>45913</v>
      </c>
      <c r="B488" s="44">
        <v>0.60416666666666663</v>
      </c>
      <c r="C488" s="44" t="s">
        <v>10</v>
      </c>
      <c r="D488" s="45">
        <v>5</v>
      </c>
      <c r="E488" s="45">
        <v>6</v>
      </c>
      <c r="F488" s="46" t="s">
        <v>242</v>
      </c>
      <c r="G488" s="46"/>
      <c r="H488" s="47"/>
      <c r="I488" s="47" t="s">
        <v>298</v>
      </c>
      <c r="J488" s="45" t="str">
        <f>VLOOKUP(Table13232[[#This Row],[Track]],$C$836:$E$882,2,FALSE)</f>
        <v>Vic</v>
      </c>
      <c r="K488" s="49">
        <v>100</v>
      </c>
      <c r="L488" s="45" t="str">
        <f>IF(Table13232[[#This Row],[Fin]]&lt;&gt;"1st","",Table13232[[#This Row],[Div]]*Table13232[[#This Row],[Lev Bet]])</f>
        <v/>
      </c>
      <c r="M488" s="45">
        <f>IF(Table13232[[#This Row],[Lev Ret]]="",Table13232[[#This Row],[Lev Bet]]*-1,L488-K488)</f>
        <v>-100</v>
      </c>
      <c r="N488" s="135">
        <v>200</v>
      </c>
      <c r="O488" s="135" t="str">
        <f>IF(Table13232[[#This Row],[Fin]]&lt;&gt;"1st","",Table13232[[#This Row],[Div]]*Table13232[[#This Row],[Nat and Combo Bet]])</f>
        <v/>
      </c>
      <c r="P488" s="135">
        <f>IF(Table13232[[#This Row],[Lev Ret]]="",Table13232[[#This Row],[Nat and Combo Bet]]*-1,O488-N488)</f>
        <v>-200</v>
      </c>
      <c r="Q488" s="50">
        <f t="shared" si="21"/>
        <v>1</v>
      </c>
      <c r="R488" s="50">
        <f>IF(AND(Q487=2,Q488=1),"",IF(Q488=2,(N488+N489)/2,IF(Table13232[[#This Row],[Dual Listing]]=1,Table13232[[#This Row],[Nat and Combo Bet]],11)))</f>
        <v>200</v>
      </c>
      <c r="S488" s="50" t="str">
        <f t="shared" si="22"/>
        <v/>
      </c>
      <c r="T488" s="50">
        <f t="shared" si="23"/>
        <v>-200</v>
      </c>
      <c r="U488" s="50" t="str">
        <f>IF(Table13232[[#This Row],[Date]]&lt;$U$4,"","Live")</f>
        <v/>
      </c>
      <c r="V488" s="45" t="str">
        <f>TEXT(Table13232[[#This Row],[Date]],"DDD")</f>
        <v>Sat</v>
      </c>
      <c r="W488" s="45" t="str">
        <f>PROPER(TRIM(Table13232[[#This Row],[Horse]]))</f>
        <v>Pop Award</v>
      </c>
    </row>
    <row r="489" spans="1:23" x14ac:dyDescent="0.25">
      <c r="A489" s="43">
        <v>45913</v>
      </c>
      <c r="B489" s="44">
        <v>0.60416666666666663</v>
      </c>
      <c r="C489" s="44" t="s">
        <v>10</v>
      </c>
      <c r="D489" s="45">
        <v>5</v>
      </c>
      <c r="E489" s="45">
        <v>12</v>
      </c>
      <c r="F489" s="46" t="s">
        <v>467</v>
      </c>
      <c r="G489" s="46"/>
      <c r="H489" s="47"/>
      <c r="I489" s="52" t="s">
        <v>297</v>
      </c>
      <c r="J489" s="45" t="str">
        <f>VLOOKUP(Table13232[[#This Row],[Track]],$C$836:$E$882,2,FALSE)</f>
        <v>Vic</v>
      </c>
      <c r="K489" s="49">
        <v>100</v>
      </c>
      <c r="L489" s="45" t="str">
        <f>IF(Table13232[[#This Row],[Fin]]&lt;&gt;"1st","",Table13232[[#This Row],[Div]]*Table13232[[#This Row],[Lev Bet]])</f>
        <v/>
      </c>
      <c r="M489" s="45">
        <f>IF(Table13232[[#This Row],[Lev Ret]]="",Table13232[[#This Row],[Lev Bet]]*-1,L489-K489)</f>
        <v>-100</v>
      </c>
      <c r="N489" s="135">
        <v>50</v>
      </c>
      <c r="O489" s="135" t="str">
        <f>IF(Table13232[[#This Row],[Fin]]&lt;&gt;"1st","",Table13232[[#This Row],[Div]]*Table13232[[#This Row],[Nat and Combo Bet]])</f>
        <v/>
      </c>
      <c r="P489" s="135">
        <f>IF(Table13232[[#This Row],[Lev Ret]]="",Table13232[[#This Row],[Nat and Combo Bet]]*-1,O489-N489)</f>
        <v>-50</v>
      </c>
      <c r="Q489" s="50">
        <f t="shared" si="21"/>
        <v>1</v>
      </c>
      <c r="R489" s="50">
        <f>IF(AND(Q488=2,Q489=1),"",IF(Q489=2,(N489+N490)/2,IF(Table13232[[#This Row],[Dual Listing]]=1,Table13232[[#This Row],[Nat and Combo Bet]],11)))</f>
        <v>50</v>
      </c>
      <c r="S489" s="50" t="str">
        <f t="shared" si="22"/>
        <v/>
      </c>
      <c r="T489" s="50">
        <f t="shared" si="23"/>
        <v>-50</v>
      </c>
      <c r="U489" s="50" t="str">
        <f>IF(Table13232[[#This Row],[Date]]&lt;$U$4,"","Live")</f>
        <v/>
      </c>
      <c r="V489" s="45" t="str">
        <f>TEXT(Table13232[[#This Row],[Date]],"DDD")</f>
        <v>Sat</v>
      </c>
      <c r="W489" s="45" t="str">
        <f>PROPER(TRIM(Table13232[[#This Row],[Horse]]))</f>
        <v>Wonder Boy</v>
      </c>
    </row>
    <row r="490" spans="1:23" x14ac:dyDescent="0.25">
      <c r="A490" s="43">
        <v>45913</v>
      </c>
      <c r="B490" s="44">
        <v>0.62361111111111112</v>
      </c>
      <c r="C490" s="44" t="s">
        <v>9</v>
      </c>
      <c r="D490" s="45">
        <v>6</v>
      </c>
      <c r="E490" s="45">
        <v>5</v>
      </c>
      <c r="F490" s="46" t="s">
        <v>243</v>
      </c>
      <c r="G490" s="46"/>
      <c r="H490" s="47"/>
      <c r="I490" s="47" t="s">
        <v>298</v>
      </c>
      <c r="J490" s="45" t="str">
        <f>VLOOKUP(Table13232[[#This Row],[Track]],$C$836:$E$882,2,FALSE)</f>
        <v>Qld</v>
      </c>
      <c r="K490" s="49">
        <v>100</v>
      </c>
      <c r="L490" s="45" t="str">
        <f>IF(Table13232[[#This Row],[Fin]]&lt;&gt;"1st","",Table13232[[#This Row],[Div]]*Table13232[[#This Row],[Lev Bet]])</f>
        <v/>
      </c>
      <c r="M490" s="45">
        <f>IF(Table13232[[#This Row],[Lev Ret]]="",Table13232[[#This Row],[Lev Bet]]*-1,L490-K490)</f>
        <v>-100</v>
      </c>
      <c r="N490" s="135">
        <v>100</v>
      </c>
      <c r="O490" s="135" t="str">
        <f>IF(Table13232[[#This Row],[Fin]]&lt;&gt;"1st","",Table13232[[#This Row],[Div]]*Table13232[[#This Row],[Nat and Combo Bet]])</f>
        <v/>
      </c>
      <c r="P490" s="135">
        <f>IF(Table13232[[#This Row],[Lev Ret]]="",Table13232[[#This Row],[Nat and Combo Bet]]*-1,O490-N490)</f>
        <v>-100</v>
      </c>
      <c r="Q490" s="50">
        <f t="shared" si="21"/>
        <v>1</v>
      </c>
      <c r="R490" s="50">
        <f>IF(AND(Q489=2,Q490=1),"",IF(Q490=2,(N490+N491)/2,IF(Table13232[[#This Row],[Dual Listing]]=1,Table13232[[#This Row],[Nat and Combo Bet]],11)))</f>
        <v>100</v>
      </c>
      <c r="S490" s="50" t="str">
        <f t="shared" si="22"/>
        <v/>
      </c>
      <c r="T490" s="50">
        <f t="shared" si="23"/>
        <v>-100</v>
      </c>
      <c r="U490" s="50" t="str">
        <f>IF(Table13232[[#This Row],[Date]]&lt;$U$4,"","Live")</f>
        <v/>
      </c>
      <c r="V490" s="45" t="str">
        <f>TEXT(Table13232[[#This Row],[Date]],"DDD")</f>
        <v>Sat</v>
      </c>
      <c r="W490" s="45" t="str">
        <f>PROPER(TRIM(Table13232[[#This Row],[Horse]]))</f>
        <v>Pannier</v>
      </c>
    </row>
    <row r="491" spans="1:23" x14ac:dyDescent="0.25">
      <c r="A491" s="43">
        <v>45913</v>
      </c>
      <c r="B491" s="44">
        <v>0.62847222222222221</v>
      </c>
      <c r="C491" s="44" t="s">
        <v>10</v>
      </c>
      <c r="D491" s="45">
        <v>6</v>
      </c>
      <c r="E491" s="45">
        <v>10</v>
      </c>
      <c r="F491" s="46" t="s">
        <v>244</v>
      </c>
      <c r="G491" s="46" t="s">
        <v>22</v>
      </c>
      <c r="H491" s="47"/>
      <c r="I491" s="47" t="s">
        <v>298</v>
      </c>
      <c r="J491" s="45" t="str">
        <f>VLOOKUP(Table13232[[#This Row],[Track]],$C$836:$E$882,2,FALSE)</f>
        <v>Vic</v>
      </c>
      <c r="K491" s="49">
        <v>100</v>
      </c>
      <c r="L491" s="45" t="str">
        <f>IF(Table13232[[#This Row],[Fin]]&lt;&gt;"1st","",Table13232[[#This Row],[Div]]*Table13232[[#This Row],[Lev Bet]])</f>
        <v/>
      </c>
      <c r="M491" s="45">
        <f>IF(Table13232[[#This Row],[Lev Ret]]="",Table13232[[#This Row],[Lev Bet]]*-1,L491-K491)</f>
        <v>-100</v>
      </c>
      <c r="N491" s="135">
        <v>200</v>
      </c>
      <c r="O491" s="135" t="str">
        <f>IF(Table13232[[#This Row],[Fin]]&lt;&gt;"1st","",Table13232[[#This Row],[Div]]*Table13232[[#This Row],[Nat and Combo Bet]])</f>
        <v/>
      </c>
      <c r="P491" s="135">
        <f>IF(Table13232[[#This Row],[Lev Ret]]="",Table13232[[#This Row],[Nat and Combo Bet]]*-1,O491-N491)</f>
        <v>-200</v>
      </c>
      <c r="Q491" s="50">
        <f t="shared" si="21"/>
        <v>1</v>
      </c>
      <c r="R491" s="50">
        <f>IF(AND(Q490=2,Q491=1),"",IF(Q491=2,(N491+N492)/2,IF(Table13232[[#This Row],[Dual Listing]]=1,Table13232[[#This Row],[Nat and Combo Bet]],11)))</f>
        <v>200</v>
      </c>
      <c r="S491" s="50" t="str">
        <f t="shared" si="22"/>
        <v/>
      </c>
      <c r="T491" s="50">
        <f t="shared" si="23"/>
        <v>-200</v>
      </c>
      <c r="U491" s="50" t="str">
        <f>IF(Table13232[[#This Row],[Date]]&lt;$U$4,"","Live")</f>
        <v/>
      </c>
      <c r="V491" s="45" t="str">
        <f>TEXT(Table13232[[#This Row],[Date]],"DDD")</f>
        <v>Sat</v>
      </c>
      <c r="W491" s="45" t="str">
        <f>PROPER(TRIM(Table13232[[#This Row],[Horse]]))</f>
        <v>Media World</v>
      </c>
    </row>
    <row r="492" spans="1:23" x14ac:dyDescent="0.25">
      <c r="A492" s="43">
        <v>45913</v>
      </c>
      <c r="B492" s="44">
        <v>0.6479166666666667</v>
      </c>
      <c r="C492" s="44" t="s">
        <v>9</v>
      </c>
      <c r="D492" s="45">
        <v>7</v>
      </c>
      <c r="E492" s="45">
        <v>8</v>
      </c>
      <c r="F492" s="46" t="s">
        <v>245</v>
      </c>
      <c r="G492" s="46" t="s">
        <v>21</v>
      </c>
      <c r="H492" s="47">
        <v>2.7</v>
      </c>
      <c r="I492" s="47" t="s">
        <v>298</v>
      </c>
      <c r="J492" s="45" t="str">
        <f>VLOOKUP(Table13232[[#This Row],[Track]],$C$836:$E$882,2,FALSE)</f>
        <v>Qld</v>
      </c>
      <c r="K492" s="49">
        <v>100</v>
      </c>
      <c r="L492" s="45">
        <f>IF(Table13232[[#This Row],[Fin]]&lt;&gt;"1st","",Table13232[[#This Row],[Div]]*Table13232[[#This Row],[Lev Bet]])</f>
        <v>270</v>
      </c>
      <c r="M492" s="45">
        <f>IF(Table13232[[#This Row],[Lev Ret]]="",Table13232[[#This Row],[Lev Bet]]*-1,L492-K492)</f>
        <v>170</v>
      </c>
      <c r="N492" s="135">
        <v>100</v>
      </c>
      <c r="O492" s="135">
        <f>IF(Table13232[[#This Row],[Fin]]&lt;&gt;"1st","",Table13232[[#This Row],[Div]]*Table13232[[#This Row],[Nat and Combo Bet]])</f>
        <v>270</v>
      </c>
      <c r="P492" s="135">
        <f>IF(Table13232[[#This Row],[Lev Ret]]="",Table13232[[#This Row],[Nat and Combo Bet]]*-1,O492-N492)</f>
        <v>170</v>
      </c>
      <c r="Q492" s="50">
        <f t="shared" si="21"/>
        <v>1</v>
      </c>
      <c r="R492" s="50">
        <f>IF(AND(Q491=2,Q492=1),"",IF(Q492=2,(N492+N493)/2,IF(Table13232[[#This Row],[Dual Listing]]=1,Table13232[[#This Row],[Nat and Combo Bet]],11)))</f>
        <v>100</v>
      </c>
      <c r="S492" s="50">
        <f t="shared" si="22"/>
        <v>270</v>
      </c>
      <c r="T492" s="50">
        <f t="shared" si="23"/>
        <v>170</v>
      </c>
      <c r="U492" s="50" t="str">
        <f>IF(Table13232[[#This Row],[Date]]&lt;$U$4,"","Live")</f>
        <v/>
      </c>
      <c r="V492" s="45" t="str">
        <f>TEXT(Table13232[[#This Row],[Date]],"DDD")</f>
        <v>Sat</v>
      </c>
      <c r="W492" s="45" t="str">
        <f>PROPER(TRIM(Table13232[[#This Row],[Horse]]))</f>
        <v>Party For Two</v>
      </c>
    </row>
    <row r="493" spans="1:23" x14ac:dyDescent="0.25">
      <c r="A493" s="43">
        <v>45913</v>
      </c>
      <c r="B493" s="44">
        <v>0.65277777777777779</v>
      </c>
      <c r="C493" s="44" t="s">
        <v>10</v>
      </c>
      <c r="D493" s="45">
        <v>7</v>
      </c>
      <c r="E493" s="45">
        <v>6</v>
      </c>
      <c r="F493" s="46" t="s">
        <v>246</v>
      </c>
      <c r="G493" s="46"/>
      <c r="H493" s="47"/>
      <c r="I493" s="47" t="s">
        <v>298</v>
      </c>
      <c r="J493" s="45" t="str">
        <f>VLOOKUP(Table13232[[#This Row],[Track]],$C$836:$E$882,2,FALSE)</f>
        <v>Vic</v>
      </c>
      <c r="K493" s="49">
        <v>100</v>
      </c>
      <c r="L493" s="45" t="str">
        <f>IF(Table13232[[#This Row],[Fin]]&lt;&gt;"1st","",Table13232[[#This Row],[Div]]*Table13232[[#This Row],[Lev Bet]])</f>
        <v/>
      </c>
      <c r="M493" s="45">
        <f>IF(Table13232[[#This Row],[Lev Ret]]="",Table13232[[#This Row],[Lev Bet]]*-1,L493-K493)</f>
        <v>-100</v>
      </c>
      <c r="N493" s="135">
        <v>100</v>
      </c>
      <c r="O493" s="135" t="str">
        <f>IF(Table13232[[#This Row],[Fin]]&lt;&gt;"1st","",Table13232[[#This Row],[Div]]*Table13232[[#This Row],[Nat and Combo Bet]])</f>
        <v/>
      </c>
      <c r="P493" s="135">
        <f>IF(Table13232[[#This Row],[Lev Ret]]="",Table13232[[#This Row],[Nat and Combo Bet]]*-1,O493-N493)</f>
        <v>-100</v>
      </c>
      <c r="Q493" s="50">
        <f t="shared" si="21"/>
        <v>1</v>
      </c>
      <c r="R493" s="50">
        <f>IF(AND(Q492=2,Q493=1),"",IF(Q493=2,(N493+N494)/2,IF(Table13232[[#This Row],[Dual Listing]]=1,Table13232[[#This Row],[Nat and Combo Bet]],11)))</f>
        <v>100</v>
      </c>
      <c r="S493" s="50" t="str">
        <f t="shared" si="22"/>
        <v/>
      </c>
      <c r="T493" s="50">
        <f t="shared" si="23"/>
        <v>-100</v>
      </c>
      <c r="U493" s="50" t="str">
        <f>IF(Table13232[[#This Row],[Date]]&lt;$U$4,"","Live")</f>
        <v/>
      </c>
      <c r="V493" s="45" t="str">
        <f>TEXT(Table13232[[#This Row],[Date]],"DDD")</f>
        <v>Sat</v>
      </c>
      <c r="W493" s="45" t="str">
        <f>PROPER(TRIM(Table13232[[#This Row],[Horse]]))</f>
        <v>Jennivamoose</v>
      </c>
    </row>
    <row r="494" spans="1:23" x14ac:dyDescent="0.25">
      <c r="A494" s="43">
        <v>45913</v>
      </c>
      <c r="B494" s="44">
        <v>0.65277777777777779</v>
      </c>
      <c r="C494" s="44" t="s">
        <v>10</v>
      </c>
      <c r="D494" s="45">
        <v>7</v>
      </c>
      <c r="E494" s="45">
        <v>7</v>
      </c>
      <c r="F494" s="46" t="s">
        <v>468</v>
      </c>
      <c r="G494" s="46" t="s">
        <v>23</v>
      </c>
      <c r="H494" s="47"/>
      <c r="I494" s="52" t="s">
        <v>297</v>
      </c>
      <c r="J494" s="45" t="str">
        <f>VLOOKUP(Table13232[[#This Row],[Track]],$C$836:$E$882,2,FALSE)</f>
        <v>Vic</v>
      </c>
      <c r="K494" s="49">
        <v>100</v>
      </c>
      <c r="L494" s="45" t="str">
        <f>IF(Table13232[[#This Row],[Fin]]&lt;&gt;"1st","",Table13232[[#This Row],[Div]]*Table13232[[#This Row],[Lev Bet]])</f>
        <v/>
      </c>
      <c r="M494" s="45">
        <f>IF(Table13232[[#This Row],[Lev Ret]]="",Table13232[[#This Row],[Lev Bet]]*-1,L494-K494)</f>
        <v>-100</v>
      </c>
      <c r="N494" s="135">
        <v>50</v>
      </c>
      <c r="O494" s="135" t="str">
        <f>IF(Table13232[[#This Row],[Fin]]&lt;&gt;"1st","",Table13232[[#This Row],[Div]]*Table13232[[#This Row],[Nat and Combo Bet]])</f>
        <v/>
      </c>
      <c r="P494" s="135">
        <f>IF(Table13232[[#This Row],[Lev Ret]]="",Table13232[[#This Row],[Nat and Combo Bet]]*-1,O494-N494)</f>
        <v>-50</v>
      </c>
      <c r="Q494" s="50">
        <f t="shared" si="21"/>
        <v>1</v>
      </c>
      <c r="R494" s="50">
        <f>IF(AND(Q493=2,Q494=1),"",IF(Q494=2,(N494+N495)/2,IF(Table13232[[#This Row],[Dual Listing]]=1,Table13232[[#This Row],[Nat and Combo Bet]],11)))</f>
        <v>50</v>
      </c>
      <c r="S494" s="50" t="str">
        <f t="shared" si="22"/>
        <v/>
      </c>
      <c r="T494" s="50">
        <f t="shared" si="23"/>
        <v>-50</v>
      </c>
      <c r="U494" s="50" t="str">
        <f>IF(Table13232[[#This Row],[Date]]&lt;$U$4,"","Live")</f>
        <v/>
      </c>
      <c r="V494" s="45" t="str">
        <f>TEXT(Table13232[[#This Row],[Date]],"DDD")</f>
        <v>Sat</v>
      </c>
      <c r="W494" s="45" t="str">
        <f>PROPER(TRIM(Table13232[[#This Row],[Horse]]))</f>
        <v>Mormona</v>
      </c>
    </row>
    <row r="495" spans="1:23" x14ac:dyDescent="0.25">
      <c r="A495" s="43">
        <v>45913</v>
      </c>
      <c r="B495" s="44">
        <v>0.65277777777777779</v>
      </c>
      <c r="C495" s="44" t="s">
        <v>10</v>
      </c>
      <c r="D495" s="45">
        <v>7</v>
      </c>
      <c r="E495" s="45">
        <v>4</v>
      </c>
      <c r="F495" s="46" t="s">
        <v>92</v>
      </c>
      <c r="G495" s="46" t="s">
        <v>21</v>
      </c>
      <c r="H495" s="47">
        <v>3.2</v>
      </c>
      <c r="I495" s="52" t="s">
        <v>297</v>
      </c>
      <c r="J495" s="45" t="str">
        <f>VLOOKUP(Table13232[[#This Row],[Track]],$C$836:$E$882,2,FALSE)</f>
        <v>Vic</v>
      </c>
      <c r="K495" s="49">
        <v>100</v>
      </c>
      <c r="L495" s="45">
        <f>IF(Table13232[[#This Row],[Fin]]&lt;&gt;"1st","",Table13232[[#This Row],[Div]]*Table13232[[#This Row],[Lev Bet]])</f>
        <v>320</v>
      </c>
      <c r="M495" s="45">
        <f>IF(Table13232[[#This Row],[Lev Ret]]="",Table13232[[#This Row],[Lev Bet]]*-1,L495-K495)</f>
        <v>220</v>
      </c>
      <c r="N495" s="135">
        <v>100</v>
      </c>
      <c r="O495" s="135">
        <f>IF(Table13232[[#This Row],[Fin]]&lt;&gt;"1st","",Table13232[[#This Row],[Div]]*Table13232[[#This Row],[Nat and Combo Bet]])</f>
        <v>320</v>
      </c>
      <c r="P495" s="135">
        <f>IF(Table13232[[#This Row],[Lev Ret]]="",Table13232[[#This Row],[Nat and Combo Bet]]*-1,O495-N495)</f>
        <v>220</v>
      </c>
      <c r="Q495" s="50">
        <f t="shared" si="21"/>
        <v>1</v>
      </c>
      <c r="R495" s="50">
        <f>IF(AND(Q494=2,Q495=1),"",IF(Q495=2,(N495+N496)/2,IF(Table13232[[#This Row],[Dual Listing]]=1,Table13232[[#This Row],[Nat and Combo Bet]],11)))</f>
        <v>100</v>
      </c>
      <c r="S495" s="50">
        <f t="shared" si="22"/>
        <v>320</v>
      </c>
      <c r="T495" s="50">
        <f t="shared" si="23"/>
        <v>220</v>
      </c>
      <c r="U495" s="50" t="str">
        <f>IF(Table13232[[#This Row],[Date]]&lt;$U$4,"","Live")</f>
        <v/>
      </c>
      <c r="V495" s="45" t="str">
        <f>TEXT(Table13232[[#This Row],[Date]],"DDD")</f>
        <v>Sat</v>
      </c>
      <c r="W495" s="45" t="str">
        <f>PROPER(TRIM(Table13232[[#This Row],[Horse]]))</f>
        <v>Revelare</v>
      </c>
    </row>
    <row r="496" spans="1:23" x14ac:dyDescent="0.25">
      <c r="A496" s="43">
        <v>45913</v>
      </c>
      <c r="B496" s="44">
        <v>0.67500000000000004</v>
      </c>
      <c r="C496" s="44" t="s">
        <v>9</v>
      </c>
      <c r="D496" s="45">
        <v>8</v>
      </c>
      <c r="E496" s="45">
        <v>6</v>
      </c>
      <c r="F496" s="46" t="s">
        <v>214</v>
      </c>
      <c r="G496" s="46" t="s">
        <v>22</v>
      </c>
      <c r="H496" s="47"/>
      <c r="I496" s="47" t="s">
        <v>298</v>
      </c>
      <c r="J496" s="45" t="str">
        <f>VLOOKUP(Table13232[[#This Row],[Track]],$C$836:$E$882,2,FALSE)</f>
        <v>Qld</v>
      </c>
      <c r="K496" s="49">
        <v>100</v>
      </c>
      <c r="L496" s="45" t="str">
        <f>IF(Table13232[[#This Row],[Fin]]&lt;&gt;"1st","",Table13232[[#This Row],[Div]]*Table13232[[#This Row],[Lev Bet]])</f>
        <v/>
      </c>
      <c r="M496" s="45">
        <f>IF(Table13232[[#This Row],[Lev Ret]]="",Table13232[[#This Row],[Lev Bet]]*-1,L496-K496)</f>
        <v>-100</v>
      </c>
      <c r="N496" s="135">
        <v>100</v>
      </c>
      <c r="O496" s="135" t="str">
        <f>IF(Table13232[[#This Row],[Fin]]&lt;&gt;"1st","",Table13232[[#This Row],[Div]]*Table13232[[#This Row],[Nat and Combo Bet]])</f>
        <v/>
      </c>
      <c r="P496" s="135">
        <f>IF(Table13232[[#This Row],[Lev Ret]]="",Table13232[[#This Row],[Nat and Combo Bet]]*-1,O496-N496)</f>
        <v>-100</v>
      </c>
      <c r="Q496" s="50">
        <f t="shared" si="21"/>
        <v>1</v>
      </c>
      <c r="R496" s="50">
        <f>IF(AND(Q495=2,Q496=1),"",IF(Q496=2,(N496+N497)/2,IF(Table13232[[#This Row],[Dual Listing]]=1,Table13232[[#This Row],[Nat and Combo Bet]],11)))</f>
        <v>100</v>
      </c>
      <c r="S496" s="50" t="str">
        <f t="shared" si="22"/>
        <v/>
      </c>
      <c r="T496" s="50">
        <f t="shared" si="23"/>
        <v>-100</v>
      </c>
      <c r="U496" s="50" t="str">
        <f>IF(Table13232[[#This Row],[Date]]&lt;$U$4,"","Live")</f>
        <v/>
      </c>
      <c r="V496" s="45" t="str">
        <f>TEXT(Table13232[[#This Row],[Date]],"DDD")</f>
        <v>Sat</v>
      </c>
      <c r="W496" s="45" t="str">
        <f>PROPER(TRIM(Table13232[[#This Row],[Horse]]))</f>
        <v>Bullion Boy</v>
      </c>
    </row>
    <row r="497" spans="1:23" x14ac:dyDescent="0.25">
      <c r="A497" s="43">
        <v>45913</v>
      </c>
      <c r="B497" s="44">
        <v>0.68055555555555558</v>
      </c>
      <c r="C497" s="44" t="s">
        <v>10</v>
      </c>
      <c r="D497" s="45">
        <v>8</v>
      </c>
      <c r="E497" s="45">
        <v>1</v>
      </c>
      <c r="F497" s="46" t="s">
        <v>42</v>
      </c>
      <c r="G497" s="46" t="s">
        <v>21</v>
      </c>
      <c r="H497" s="47">
        <v>5</v>
      </c>
      <c r="I497" s="52" t="s">
        <v>297</v>
      </c>
      <c r="J497" s="45" t="str">
        <f>VLOOKUP(Table13232[[#This Row],[Track]],$C$836:$E$882,2,FALSE)</f>
        <v>Vic</v>
      </c>
      <c r="K497" s="49">
        <v>100</v>
      </c>
      <c r="L497" s="45">
        <f>IF(Table13232[[#This Row],[Fin]]&lt;&gt;"1st","",Table13232[[#This Row],[Div]]*Table13232[[#This Row],[Lev Bet]])</f>
        <v>500</v>
      </c>
      <c r="M497" s="45">
        <f>IF(Table13232[[#This Row],[Lev Ret]]="",Table13232[[#This Row],[Lev Bet]]*-1,L497-K497)</f>
        <v>400</v>
      </c>
      <c r="N497" s="135">
        <v>150</v>
      </c>
      <c r="O497" s="135">
        <f>IF(Table13232[[#This Row],[Fin]]&lt;&gt;"1st","",Table13232[[#This Row],[Div]]*Table13232[[#This Row],[Nat and Combo Bet]])</f>
        <v>750</v>
      </c>
      <c r="P497" s="135">
        <f>IF(Table13232[[#This Row],[Lev Ret]]="",Table13232[[#This Row],[Nat and Combo Bet]]*-1,O497-N497)</f>
        <v>600</v>
      </c>
      <c r="Q497" s="50">
        <f t="shared" si="21"/>
        <v>1</v>
      </c>
      <c r="R497" s="50">
        <f>IF(AND(Q496=2,Q497=1),"",IF(Q497=2,(N497+N498)/2,IF(Table13232[[#This Row],[Dual Listing]]=1,Table13232[[#This Row],[Nat and Combo Bet]],11)))</f>
        <v>150</v>
      </c>
      <c r="S497" s="50">
        <f t="shared" si="22"/>
        <v>750</v>
      </c>
      <c r="T497" s="50">
        <f t="shared" si="23"/>
        <v>600</v>
      </c>
      <c r="U497" s="50" t="str">
        <f>IF(Table13232[[#This Row],[Date]]&lt;$U$4,"","Live")</f>
        <v/>
      </c>
      <c r="V497" s="45" t="str">
        <f>TEXT(Table13232[[#This Row],[Date]],"DDD")</f>
        <v>Sat</v>
      </c>
      <c r="W497" s="45" t="str">
        <f>PROPER(TRIM(Table13232[[#This Row],[Horse]]))</f>
        <v>Mr Brightside</v>
      </c>
    </row>
    <row r="498" spans="1:23" x14ac:dyDescent="0.25">
      <c r="A498" s="43">
        <v>45913</v>
      </c>
      <c r="B498" s="44">
        <v>0.68055555555555558</v>
      </c>
      <c r="C498" s="44" t="s">
        <v>10</v>
      </c>
      <c r="D498" s="45">
        <v>8</v>
      </c>
      <c r="E498" s="45">
        <v>5</v>
      </c>
      <c r="F498" s="46" t="s">
        <v>129</v>
      </c>
      <c r="G498" s="46" t="s">
        <v>22</v>
      </c>
      <c r="H498" s="47"/>
      <c r="I498" s="47" t="s">
        <v>298</v>
      </c>
      <c r="J498" s="45" t="str">
        <f>VLOOKUP(Table13232[[#This Row],[Track]],$C$836:$E$882,2,FALSE)</f>
        <v>Vic</v>
      </c>
      <c r="K498" s="49">
        <v>100</v>
      </c>
      <c r="L498" s="45" t="str">
        <f>IF(Table13232[[#This Row],[Fin]]&lt;&gt;"1st","",Table13232[[#This Row],[Div]]*Table13232[[#This Row],[Lev Bet]])</f>
        <v/>
      </c>
      <c r="M498" s="45">
        <f>IF(Table13232[[#This Row],[Lev Ret]]="",Table13232[[#This Row],[Lev Bet]]*-1,L498-K498)</f>
        <v>-100</v>
      </c>
      <c r="N498" s="135">
        <v>200</v>
      </c>
      <c r="O498" s="135" t="str">
        <f>IF(Table13232[[#This Row],[Fin]]&lt;&gt;"1st","",Table13232[[#This Row],[Div]]*Table13232[[#This Row],[Nat and Combo Bet]])</f>
        <v/>
      </c>
      <c r="P498" s="135">
        <f>IF(Table13232[[#This Row],[Lev Ret]]="",Table13232[[#This Row],[Nat and Combo Bet]]*-1,O498-N498)</f>
        <v>-200</v>
      </c>
      <c r="Q498" s="50">
        <f t="shared" si="21"/>
        <v>1</v>
      </c>
      <c r="R498" s="50">
        <f>IF(AND(Q497=2,Q498=1),"",IF(Q498=2,(N498+N499)/2,IF(Table13232[[#This Row],[Dual Listing]]=1,Table13232[[#This Row],[Nat and Combo Bet]],11)))</f>
        <v>200</v>
      </c>
      <c r="S498" s="50" t="str">
        <f t="shared" si="22"/>
        <v/>
      </c>
      <c r="T498" s="50">
        <f t="shared" si="23"/>
        <v>-200</v>
      </c>
      <c r="U498" s="50" t="str">
        <f>IF(Table13232[[#This Row],[Date]]&lt;$U$4,"","Live")</f>
        <v/>
      </c>
      <c r="V498" s="45" t="str">
        <f>TEXT(Table13232[[#This Row],[Date]],"DDD")</f>
        <v>Sat</v>
      </c>
      <c r="W498" s="45" t="str">
        <f>PROPER(TRIM(Table13232[[#This Row],[Horse]]))</f>
        <v>Via Sistina</v>
      </c>
    </row>
    <row r="499" spans="1:23" x14ac:dyDescent="0.25">
      <c r="A499" s="43">
        <v>45913</v>
      </c>
      <c r="B499" s="44">
        <v>0.7</v>
      </c>
      <c r="C499" s="44" t="s">
        <v>9</v>
      </c>
      <c r="D499" s="45">
        <v>9</v>
      </c>
      <c r="E499" s="45">
        <v>1</v>
      </c>
      <c r="F499" s="46" t="s">
        <v>68</v>
      </c>
      <c r="G499" s="46" t="s">
        <v>23</v>
      </c>
      <c r="H499" s="47"/>
      <c r="I499" s="47" t="s">
        <v>298</v>
      </c>
      <c r="J499" s="45" t="str">
        <f>VLOOKUP(Table13232[[#This Row],[Track]],$C$836:$E$882,2,FALSE)</f>
        <v>Qld</v>
      </c>
      <c r="K499" s="49">
        <v>100</v>
      </c>
      <c r="L499" s="45" t="str">
        <f>IF(Table13232[[#This Row],[Fin]]&lt;&gt;"1st","",Table13232[[#This Row],[Div]]*Table13232[[#This Row],[Lev Bet]])</f>
        <v/>
      </c>
      <c r="M499" s="45">
        <f>IF(Table13232[[#This Row],[Lev Ret]]="",Table13232[[#This Row],[Lev Bet]]*-1,L499-K499)</f>
        <v>-100</v>
      </c>
      <c r="N499" s="135">
        <v>100</v>
      </c>
      <c r="O499" s="135" t="str">
        <f>IF(Table13232[[#This Row],[Fin]]&lt;&gt;"1st","",Table13232[[#This Row],[Div]]*Table13232[[#This Row],[Nat and Combo Bet]])</f>
        <v/>
      </c>
      <c r="P499" s="135">
        <f>IF(Table13232[[#This Row],[Lev Ret]]="",Table13232[[#This Row],[Nat and Combo Bet]]*-1,O499-N499)</f>
        <v>-100</v>
      </c>
      <c r="Q499" s="50">
        <f t="shared" si="21"/>
        <v>1</v>
      </c>
      <c r="R499" s="50">
        <f>IF(AND(Q498=2,Q499=1),"",IF(Q499=2,(N499+N500)/2,IF(Table13232[[#This Row],[Dual Listing]]=1,Table13232[[#This Row],[Nat and Combo Bet]],11)))</f>
        <v>100</v>
      </c>
      <c r="S499" s="50" t="str">
        <f t="shared" si="22"/>
        <v/>
      </c>
      <c r="T499" s="50">
        <f t="shared" si="23"/>
        <v>-100</v>
      </c>
      <c r="U499" s="50" t="str">
        <f>IF(Table13232[[#This Row],[Date]]&lt;$U$4,"","Live")</f>
        <v/>
      </c>
      <c r="V499" s="45" t="str">
        <f>TEXT(Table13232[[#This Row],[Date]],"DDD")</f>
        <v>Sat</v>
      </c>
      <c r="W499" s="45" t="str">
        <f>PROPER(TRIM(Table13232[[#This Row],[Horse]]))</f>
        <v>Free Carry</v>
      </c>
    </row>
    <row r="500" spans="1:23" x14ac:dyDescent="0.25">
      <c r="A500" s="109">
        <v>45913</v>
      </c>
      <c r="B500" s="53">
        <v>0.70486111111111116</v>
      </c>
      <c r="C500" s="110" t="s">
        <v>10</v>
      </c>
      <c r="D500" s="111">
        <v>9</v>
      </c>
      <c r="E500" s="111">
        <v>3</v>
      </c>
      <c r="F500" s="112" t="s">
        <v>247</v>
      </c>
      <c r="G500" s="112" t="s">
        <v>21</v>
      </c>
      <c r="H500" s="113">
        <v>2.5</v>
      </c>
      <c r="I500" s="114" t="s">
        <v>297</v>
      </c>
      <c r="J500" s="45" t="str">
        <f>VLOOKUP(Table13232[[#This Row],[Track]],$C$836:$E$882,2,FALSE)</f>
        <v>Vic</v>
      </c>
      <c r="K500" s="55">
        <v>100</v>
      </c>
      <c r="L500" s="54">
        <f>IF(Table13232[[#This Row],[Fin]]&lt;&gt;"1st","",Table13232[[#This Row],[Div]]*Table13232[[#This Row],[Lev Bet]])</f>
        <v>250</v>
      </c>
      <c r="M500" s="54">
        <f>IF(Table13232[[#This Row],[Lev Ret]]="",Table13232[[#This Row],[Lev Bet]]*-1,L500-K500)</f>
        <v>150</v>
      </c>
      <c r="N500" s="135">
        <v>200</v>
      </c>
      <c r="O500" s="135">
        <f>IF(Table13232[[#This Row],[Fin]]&lt;&gt;"1st","",Table13232[[#This Row],[Div]]*Table13232[[#This Row],[Nat and Combo Bet]])</f>
        <v>500</v>
      </c>
      <c r="P500" s="135">
        <f>IF(Table13232[[#This Row],[Lev Ret]]="",Table13232[[#This Row],[Nat and Combo Bet]]*-1,O500-N500)</f>
        <v>300</v>
      </c>
      <c r="Q500" s="50">
        <f t="shared" si="21"/>
        <v>2</v>
      </c>
      <c r="R500" s="50">
        <f>IF(AND(Q499=2,Q500=1),"",IF(Q500=2,(N500+N501)/2,IF(Table13232[[#This Row],[Dual Listing]]=1,Table13232[[#This Row],[Nat and Combo Bet]],11)))</f>
        <v>150</v>
      </c>
      <c r="S500" s="50">
        <f t="shared" si="22"/>
        <v>375</v>
      </c>
      <c r="T500" s="50">
        <f t="shared" si="23"/>
        <v>225</v>
      </c>
      <c r="U500" s="50" t="str">
        <f>IF(Table13232[[#This Row],[Date]]&lt;$U$4,"","Live")</f>
        <v/>
      </c>
      <c r="V500" s="45" t="str">
        <f>TEXT(Table13232[[#This Row],[Date]],"DDD")</f>
        <v>Sat</v>
      </c>
      <c r="W500" s="45" t="str">
        <f>PROPER(TRIM(Table13232[[#This Row],[Horse]]))</f>
        <v>Lazzura</v>
      </c>
    </row>
    <row r="501" spans="1:23" x14ac:dyDescent="0.25">
      <c r="A501" s="109">
        <v>45913</v>
      </c>
      <c r="B501" s="53">
        <v>0.70486111111111116</v>
      </c>
      <c r="C501" s="110" t="s">
        <v>10</v>
      </c>
      <c r="D501" s="111">
        <v>9</v>
      </c>
      <c r="E501" s="111">
        <v>3</v>
      </c>
      <c r="F501" s="112" t="s">
        <v>247</v>
      </c>
      <c r="G501" s="112" t="s">
        <v>21</v>
      </c>
      <c r="H501" s="113">
        <v>2.5</v>
      </c>
      <c r="I501" s="113" t="s">
        <v>298</v>
      </c>
      <c r="J501" s="45" t="str">
        <f>VLOOKUP(Table13232[[#This Row],[Track]],$C$836:$E$882,2,FALSE)</f>
        <v>Vic</v>
      </c>
      <c r="K501" s="55">
        <v>100</v>
      </c>
      <c r="L501" s="54">
        <f>IF(Table13232[[#This Row],[Fin]]&lt;&gt;"1st","",Table13232[[#This Row],[Div]]*Table13232[[#This Row],[Lev Bet]])</f>
        <v>250</v>
      </c>
      <c r="M501" s="54">
        <f>IF(Table13232[[#This Row],[Lev Ret]]="",Table13232[[#This Row],[Lev Bet]]*-1,L501-K501)</f>
        <v>150</v>
      </c>
      <c r="N501" s="135">
        <v>100</v>
      </c>
      <c r="O501" s="135">
        <f>IF(Table13232[[#This Row],[Fin]]&lt;&gt;"1st","",Table13232[[#This Row],[Div]]*Table13232[[#This Row],[Nat and Combo Bet]])</f>
        <v>250</v>
      </c>
      <c r="P501" s="135">
        <f>IF(Table13232[[#This Row],[Lev Ret]]="",Table13232[[#This Row],[Nat and Combo Bet]]*-1,O501-N501)</f>
        <v>150</v>
      </c>
      <c r="Q501" s="50">
        <f t="shared" si="21"/>
        <v>1</v>
      </c>
      <c r="R501" s="50" t="str">
        <f>IF(AND(Q500=2,Q501=1),"",IF(Q501=2,(N501+N502)/2,IF(Table13232[[#This Row],[Dual Listing]]=1,Table13232[[#This Row],[Nat and Combo Bet]],11)))</f>
        <v/>
      </c>
      <c r="S501" s="50" t="str">
        <f t="shared" si="22"/>
        <v/>
      </c>
      <c r="T501" s="50" t="str">
        <f t="shared" si="23"/>
        <v/>
      </c>
      <c r="U501" s="50" t="str">
        <f>IF(Table13232[[#This Row],[Date]]&lt;$U$4,"","Live")</f>
        <v/>
      </c>
      <c r="V501" s="45" t="str">
        <f>TEXT(Table13232[[#This Row],[Date]],"DDD")</f>
        <v>Sat</v>
      </c>
      <c r="W501" s="45" t="str">
        <f>PROPER(TRIM(Table13232[[#This Row],[Horse]]))</f>
        <v>Lazzura</v>
      </c>
    </row>
    <row r="502" spans="1:23" x14ac:dyDescent="0.25">
      <c r="A502" s="109">
        <v>45913</v>
      </c>
      <c r="B502" s="53">
        <v>0.71875</v>
      </c>
      <c r="C502" s="110" t="s">
        <v>11</v>
      </c>
      <c r="D502" s="111">
        <v>10</v>
      </c>
      <c r="E502" s="111">
        <v>5</v>
      </c>
      <c r="F502" s="112" t="s">
        <v>49</v>
      </c>
      <c r="G502" s="112" t="s">
        <v>23</v>
      </c>
      <c r="H502" s="113"/>
      <c r="I502" s="114" t="s">
        <v>297</v>
      </c>
      <c r="J502" s="45" t="str">
        <f>VLOOKUP(Table13232[[#This Row],[Track]],$C$836:$E$882,2,FALSE)</f>
        <v>NSW</v>
      </c>
      <c r="K502" s="55">
        <v>100</v>
      </c>
      <c r="L502" s="54" t="str">
        <f>IF(Table13232[[#This Row],[Fin]]&lt;&gt;"1st","",Table13232[[#This Row],[Div]]*Table13232[[#This Row],[Lev Bet]])</f>
        <v/>
      </c>
      <c r="M502" s="54">
        <f>IF(Table13232[[#This Row],[Lev Ret]]="",Table13232[[#This Row],[Lev Bet]]*-1,L502-K502)</f>
        <v>-100</v>
      </c>
      <c r="N502" s="135">
        <v>140</v>
      </c>
      <c r="O502" s="135" t="str">
        <f>IF(Table13232[[#This Row],[Fin]]&lt;&gt;"1st","",Table13232[[#This Row],[Div]]*Table13232[[#This Row],[Nat and Combo Bet]])</f>
        <v/>
      </c>
      <c r="P502" s="135">
        <f>IF(Table13232[[#This Row],[Lev Ret]]="",Table13232[[#This Row],[Nat and Combo Bet]]*-1,O502-N502)</f>
        <v>-140</v>
      </c>
      <c r="Q502" s="50">
        <f t="shared" si="21"/>
        <v>2</v>
      </c>
      <c r="R502" s="50">
        <f>IF(AND(Q501=2,Q502=1),"",IF(Q502=2,(N502+N503)/2,IF(Table13232[[#This Row],[Dual Listing]]=1,Table13232[[#This Row],[Nat and Combo Bet]],11)))</f>
        <v>145</v>
      </c>
      <c r="S502" s="50" t="str">
        <f t="shared" si="22"/>
        <v/>
      </c>
      <c r="T502" s="50">
        <f t="shared" si="23"/>
        <v>-145</v>
      </c>
      <c r="U502" s="50" t="str">
        <f>IF(Table13232[[#This Row],[Date]]&lt;$U$4,"","Live")</f>
        <v/>
      </c>
      <c r="V502" s="45" t="str">
        <f>TEXT(Table13232[[#This Row],[Date]],"DDD")</f>
        <v>Sat</v>
      </c>
      <c r="W502" s="45" t="str">
        <f>PROPER(TRIM(Table13232[[#This Row],[Horse]]))</f>
        <v>Captain Furai</v>
      </c>
    </row>
    <row r="503" spans="1:23" x14ac:dyDescent="0.25">
      <c r="A503" s="109">
        <v>45913</v>
      </c>
      <c r="B503" s="53">
        <v>0.71875</v>
      </c>
      <c r="C503" s="110" t="s">
        <v>11</v>
      </c>
      <c r="D503" s="111">
        <v>10</v>
      </c>
      <c r="E503" s="111">
        <v>5</v>
      </c>
      <c r="F503" s="112" t="s">
        <v>49</v>
      </c>
      <c r="G503" s="112" t="s">
        <v>23</v>
      </c>
      <c r="H503" s="113"/>
      <c r="I503" s="113" t="s">
        <v>298</v>
      </c>
      <c r="J503" s="45" t="str">
        <f>VLOOKUP(Table13232[[#This Row],[Track]],$C$836:$E$882,2,FALSE)</f>
        <v>NSW</v>
      </c>
      <c r="K503" s="55">
        <v>100</v>
      </c>
      <c r="L503" s="54" t="str">
        <f>IF(Table13232[[#This Row],[Fin]]&lt;&gt;"1st","",Table13232[[#This Row],[Div]]*Table13232[[#This Row],[Lev Bet]])</f>
        <v/>
      </c>
      <c r="M503" s="54">
        <f>IF(Table13232[[#This Row],[Lev Ret]]="",Table13232[[#This Row],[Lev Bet]]*-1,L503-K503)</f>
        <v>-100</v>
      </c>
      <c r="N503" s="135">
        <v>150</v>
      </c>
      <c r="O503" s="135" t="str">
        <f>IF(Table13232[[#This Row],[Fin]]&lt;&gt;"1st","",Table13232[[#This Row],[Div]]*Table13232[[#This Row],[Nat and Combo Bet]])</f>
        <v/>
      </c>
      <c r="P503" s="135">
        <f>IF(Table13232[[#This Row],[Lev Ret]]="",Table13232[[#This Row],[Nat and Combo Bet]]*-1,O503-N503)</f>
        <v>-150</v>
      </c>
      <c r="Q503" s="50">
        <f t="shared" si="21"/>
        <v>1</v>
      </c>
      <c r="R503" s="50" t="str">
        <f>IF(AND(Q502=2,Q503=1),"",IF(Q503=2,(N503+N504)/2,IF(Table13232[[#This Row],[Dual Listing]]=1,Table13232[[#This Row],[Nat and Combo Bet]],11)))</f>
        <v/>
      </c>
      <c r="S503" s="50" t="str">
        <f t="shared" si="22"/>
        <v/>
      </c>
      <c r="T503" s="50" t="str">
        <f t="shared" si="23"/>
        <v/>
      </c>
      <c r="U503" s="50" t="str">
        <f>IF(Table13232[[#This Row],[Date]]&lt;$U$4,"","Live")</f>
        <v/>
      </c>
      <c r="V503" s="45" t="str">
        <f>TEXT(Table13232[[#This Row],[Date]],"DDD")</f>
        <v>Sat</v>
      </c>
      <c r="W503" s="45" t="str">
        <f>PROPER(TRIM(Table13232[[#This Row],[Horse]]))</f>
        <v>Captain Furai</v>
      </c>
    </row>
    <row r="504" spans="1:23" x14ac:dyDescent="0.25">
      <c r="A504" s="43">
        <v>45920</v>
      </c>
      <c r="B504" s="44">
        <v>0.50694444444444442</v>
      </c>
      <c r="C504" s="44" t="s">
        <v>34</v>
      </c>
      <c r="D504" s="45">
        <v>1</v>
      </c>
      <c r="E504" s="45">
        <v>5</v>
      </c>
      <c r="F504" s="46" t="s">
        <v>248</v>
      </c>
      <c r="G504" s="46"/>
      <c r="H504" s="47"/>
      <c r="I504" s="47" t="s">
        <v>298</v>
      </c>
      <c r="J504" s="45" t="str">
        <f>VLOOKUP(Table13232[[#This Row],[Track]],$C$836:$E$882,2,FALSE)</f>
        <v>Vic</v>
      </c>
      <c r="K504" s="49">
        <v>100</v>
      </c>
      <c r="L504" s="45" t="str">
        <f>IF(Table13232[[#This Row],[Fin]]&lt;&gt;"1st","",Table13232[[#This Row],[Div]]*Table13232[[#This Row],[Lev Bet]])</f>
        <v/>
      </c>
      <c r="M504" s="45">
        <f>IF(Table13232[[#This Row],[Lev Ret]]="",Table13232[[#This Row],[Lev Bet]]*-1,L504-K504)</f>
        <v>-100</v>
      </c>
      <c r="N504" s="135">
        <v>100</v>
      </c>
      <c r="O504" s="135" t="str">
        <f>IF(Table13232[[#This Row],[Fin]]&lt;&gt;"1st","",Table13232[[#This Row],[Div]]*Table13232[[#This Row],[Nat and Combo Bet]])</f>
        <v/>
      </c>
      <c r="P504" s="135">
        <f>IF(Table13232[[#This Row],[Lev Ret]]="",Table13232[[#This Row],[Nat and Combo Bet]]*-1,O504-N504)</f>
        <v>-100</v>
      </c>
      <c r="Q504" s="50">
        <f t="shared" si="21"/>
        <v>1</v>
      </c>
      <c r="R504" s="50">
        <f>IF(AND(Q503=2,Q504=1),"",IF(Q504=2,(N504+N505)/2,IF(Table13232[[#This Row],[Dual Listing]]=1,Table13232[[#This Row],[Nat and Combo Bet]],11)))</f>
        <v>100</v>
      </c>
      <c r="S504" s="50" t="str">
        <f t="shared" si="22"/>
        <v/>
      </c>
      <c r="T504" s="50">
        <f t="shared" si="23"/>
        <v>-100</v>
      </c>
      <c r="U504" s="50" t="str">
        <f>IF(Table13232[[#This Row],[Date]]&lt;$U$4,"","Live")</f>
        <v/>
      </c>
      <c r="V504" s="45" t="str">
        <f>TEXT(Table13232[[#This Row],[Date]],"DDD")</f>
        <v>Sat</v>
      </c>
      <c r="W504" s="45" t="str">
        <f>PROPER(TRIM(Table13232[[#This Row],[Horse]]))</f>
        <v>Prince Eric</v>
      </c>
    </row>
    <row r="505" spans="1:23" x14ac:dyDescent="0.25">
      <c r="A505" s="43">
        <v>45920</v>
      </c>
      <c r="B505" s="44">
        <v>0.52777777777777779</v>
      </c>
      <c r="C505" s="44" t="s">
        <v>34</v>
      </c>
      <c r="D505" s="45">
        <v>2</v>
      </c>
      <c r="E505" s="45">
        <v>7</v>
      </c>
      <c r="F505" s="46" t="s">
        <v>249</v>
      </c>
      <c r="G505" s="46" t="s">
        <v>22</v>
      </c>
      <c r="H505" s="47"/>
      <c r="I505" s="47" t="s">
        <v>298</v>
      </c>
      <c r="J505" s="45" t="str">
        <f>VLOOKUP(Table13232[[#This Row],[Track]],$C$836:$E$882,2,FALSE)</f>
        <v>Vic</v>
      </c>
      <c r="K505" s="49">
        <v>100</v>
      </c>
      <c r="L505" s="45" t="str">
        <f>IF(Table13232[[#This Row],[Fin]]&lt;&gt;"1st","",Table13232[[#This Row],[Div]]*Table13232[[#This Row],[Lev Bet]])</f>
        <v/>
      </c>
      <c r="M505" s="45">
        <f>IF(Table13232[[#This Row],[Lev Ret]]="",Table13232[[#This Row],[Lev Bet]]*-1,L505-K505)</f>
        <v>-100</v>
      </c>
      <c r="N505" s="135">
        <v>100</v>
      </c>
      <c r="O505" s="135" t="str">
        <f>IF(Table13232[[#This Row],[Fin]]&lt;&gt;"1st","",Table13232[[#This Row],[Div]]*Table13232[[#This Row],[Nat and Combo Bet]])</f>
        <v/>
      </c>
      <c r="P505" s="135">
        <f>IF(Table13232[[#This Row],[Lev Ret]]="",Table13232[[#This Row],[Nat and Combo Bet]]*-1,O505-N505)</f>
        <v>-100</v>
      </c>
      <c r="Q505" s="50">
        <f t="shared" si="21"/>
        <v>1</v>
      </c>
      <c r="R505" s="50">
        <f>IF(AND(Q504=2,Q505=1),"",IF(Q505=2,(N505+N506)/2,IF(Table13232[[#This Row],[Dual Listing]]=1,Table13232[[#This Row],[Nat and Combo Bet]],11)))</f>
        <v>100</v>
      </c>
      <c r="S505" s="50" t="str">
        <f t="shared" si="22"/>
        <v/>
      </c>
      <c r="T505" s="50">
        <f t="shared" si="23"/>
        <v>-100</v>
      </c>
      <c r="U505" s="50" t="str">
        <f>IF(Table13232[[#This Row],[Date]]&lt;$U$4,"","Live")</f>
        <v/>
      </c>
      <c r="V505" s="45" t="str">
        <f>TEXT(Table13232[[#This Row],[Date]],"DDD")</f>
        <v>Sat</v>
      </c>
      <c r="W505" s="45" t="str">
        <f>PROPER(TRIM(Table13232[[#This Row],[Horse]]))</f>
        <v>Eagle Express</v>
      </c>
    </row>
    <row r="506" spans="1:23" x14ac:dyDescent="0.25">
      <c r="A506" s="43">
        <v>45920</v>
      </c>
      <c r="B506" s="44">
        <v>0.54166666666666663</v>
      </c>
      <c r="C506" s="44" t="s">
        <v>13</v>
      </c>
      <c r="D506" s="45">
        <v>3</v>
      </c>
      <c r="E506" s="45">
        <v>6</v>
      </c>
      <c r="F506" s="46" t="s">
        <v>469</v>
      </c>
      <c r="G506" s="46"/>
      <c r="H506" s="47"/>
      <c r="I506" s="52" t="s">
        <v>297</v>
      </c>
      <c r="J506" s="45" t="str">
        <f>VLOOKUP(Table13232[[#This Row],[Track]],$C$836:$E$882,2,FALSE)</f>
        <v>NSW</v>
      </c>
      <c r="K506" s="49">
        <v>100</v>
      </c>
      <c r="L506" s="45" t="str">
        <f>IF(Table13232[[#This Row],[Fin]]&lt;&gt;"1st","",Table13232[[#This Row],[Div]]*Table13232[[#This Row],[Lev Bet]])</f>
        <v/>
      </c>
      <c r="M506" s="45">
        <f>IF(Table13232[[#This Row],[Lev Ret]]="",Table13232[[#This Row],[Lev Bet]]*-1,L506-K506)</f>
        <v>-100</v>
      </c>
      <c r="N506" s="135">
        <v>100</v>
      </c>
      <c r="O506" s="135" t="str">
        <f>IF(Table13232[[#This Row],[Fin]]&lt;&gt;"1st","",Table13232[[#This Row],[Div]]*Table13232[[#This Row],[Nat and Combo Bet]])</f>
        <v/>
      </c>
      <c r="P506" s="135">
        <f>IF(Table13232[[#This Row],[Lev Ret]]="",Table13232[[#This Row],[Nat and Combo Bet]]*-1,O506-N506)</f>
        <v>-100</v>
      </c>
      <c r="Q506" s="50">
        <f t="shared" si="21"/>
        <v>1</v>
      </c>
      <c r="R506" s="50">
        <f>IF(AND(Q505=2,Q506=1),"",IF(Q506=2,(N506+N507)/2,IF(Table13232[[#This Row],[Dual Listing]]=1,Table13232[[#This Row],[Nat and Combo Bet]],11)))</f>
        <v>100</v>
      </c>
      <c r="S506" s="50" t="str">
        <f t="shared" si="22"/>
        <v/>
      </c>
      <c r="T506" s="50">
        <f t="shared" si="23"/>
        <v>-100</v>
      </c>
      <c r="U506" s="50" t="str">
        <f>IF(Table13232[[#This Row],[Date]]&lt;$U$4,"","Live")</f>
        <v/>
      </c>
      <c r="V506" s="45" t="str">
        <f>TEXT(Table13232[[#This Row],[Date]],"DDD")</f>
        <v>Sat</v>
      </c>
      <c r="W506" s="45" t="str">
        <f>PROPER(TRIM(Table13232[[#This Row],[Horse]]))</f>
        <v>Midnight Opal</v>
      </c>
    </row>
    <row r="507" spans="1:23" x14ac:dyDescent="0.25">
      <c r="A507" s="43">
        <v>45920</v>
      </c>
      <c r="B507" s="44">
        <v>0.55208333333333337</v>
      </c>
      <c r="C507" s="44" t="s">
        <v>34</v>
      </c>
      <c r="D507" s="45">
        <v>3</v>
      </c>
      <c r="E507" s="45">
        <v>10</v>
      </c>
      <c r="F507" s="46" t="s">
        <v>470</v>
      </c>
      <c r="G507" s="46"/>
      <c r="H507" s="47"/>
      <c r="I507" s="52" t="s">
        <v>297</v>
      </c>
      <c r="J507" s="45" t="str">
        <f>VLOOKUP(Table13232[[#This Row],[Track]],$C$836:$E$882,2,FALSE)</f>
        <v>Vic</v>
      </c>
      <c r="K507" s="49">
        <v>100</v>
      </c>
      <c r="L507" s="45" t="str">
        <f>IF(Table13232[[#This Row],[Fin]]&lt;&gt;"1st","",Table13232[[#This Row],[Div]]*Table13232[[#This Row],[Lev Bet]])</f>
        <v/>
      </c>
      <c r="M507" s="45">
        <f>IF(Table13232[[#This Row],[Lev Ret]]="",Table13232[[#This Row],[Lev Bet]]*-1,L507-K507)</f>
        <v>-100</v>
      </c>
      <c r="N507" s="135">
        <v>100</v>
      </c>
      <c r="O507" s="135" t="str">
        <f>IF(Table13232[[#This Row],[Fin]]&lt;&gt;"1st","",Table13232[[#This Row],[Div]]*Table13232[[#This Row],[Nat and Combo Bet]])</f>
        <v/>
      </c>
      <c r="P507" s="135">
        <f>IF(Table13232[[#This Row],[Lev Ret]]="",Table13232[[#This Row],[Nat and Combo Bet]]*-1,O507-N507)</f>
        <v>-100</v>
      </c>
      <c r="Q507" s="50">
        <f t="shared" si="21"/>
        <v>1</v>
      </c>
      <c r="R507" s="50">
        <f>IF(AND(Q506=2,Q507=1),"",IF(Q507=2,(N507+N508)/2,IF(Table13232[[#This Row],[Dual Listing]]=1,Table13232[[#This Row],[Nat and Combo Bet]],11)))</f>
        <v>100</v>
      </c>
      <c r="S507" s="50" t="str">
        <f t="shared" si="22"/>
        <v/>
      </c>
      <c r="T507" s="50">
        <f t="shared" si="23"/>
        <v>-100</v>
      </c>
      <c r="U507" s="50" t="str">
        <f>IF(Table13232[[#This Row],[Date]]&lt;$U$4,"","Live")</f>
        <v/>
      </c>
      <c r="V507" s="45" t="str">
        <f>TEXT(Table13232[[#This Row],[Date]],"DDD")</f>
        <v>Sat</v>
      </c>
      <c r="W507" s="45" t="str">
        <f>PROPER(TRIM(Table13232[[#This Row],[Horse]]))</f>
        <v>Lovelycut</v>
      </c>
    </row>
    <row r="508" spans="1:23" x14ac:dyDescent="0.25">
      <c r="A508" s="43">
        <v>45920</v>
      </c>
      <c r="B508" s="44">
        <v>0.55208333333333337</v>
      </c>
      <c r="C508" s="44" t="s">
        <v>34</v>
      </c>
      <c r="D508" s="45">
        <v>3</v>
      </c>
      <c r="E508" s="45">
        <v>3</v>
      </c>
      <c r="F508" s="46" t="s">
        <v>471</v>
      </c>
      <c r="G508" s="46"/>
      <c r="H508" s="47"/>
      <c r="I508" s="52" t="s">
        <v>297</v>
      </c>
      <c r="J508" s="45" t="str">
        <f>VLOOKUP(Table13232[[#This Row],[Track]],$C$836:$E$882,2,FALSE)</f>
        <v>Vic</v>
      </c>
      <c r="K508" s="49">
        <v>100</v>
      </c>
      <c r="L508" s="45" t="str">
        <f>IF(Table13232[[#This Row],[Fin]]&lt;&gt;"1st","",Table13232[[#This Row],[Div]]*Table13232[[#This Row],[Lev Bet]])</f>
        <v/>
      </c>
      <c r="M508" s="45">
        <f>IF(Table13232[[#This Row],[Lev Ret]]="",Table13232[[#This Row],[Lev Bet]]*-1,L508-K508)</f>
        <v>-100</v>
      </c>
      <c r="N508" s="135">
        <v>50</v>
      </c>
      <c r="O508" s="135" t="str">
        <f>IF(Table13232[[#This Row],[Fin]]&lt;&gt;"1st","",Table13232[[#This Row],[Div]]*Table13232[[#This Row],[Nat and Combo Bet]])</f>
        <v/>
      </c>
      <c r="P508" s="135">
        <f>IF(Table13232[[#This Row],[Lev Ret]]="",Table13232[[#This Row],[Nat and Combo Bet]]*-1,O508-N508)</f>
        <v>-50</v>
      </c>
      <c r="Q508" s="50">
        <f t="shared" si="21"/>
        <v>1</v>
      </c>
      <c r="R508" s="50">
        <f>IF(AND(Q507=2,Q508=1),"",IF(Q508=2,(N508+N509)/2,IF(Table13232[[#This Row],[Dual Listing]]=1,Table13232[[#This Row],[Nat and Combo Bet]],11)))</f>
        <v>50</v>
      </c>
      <c r="S508" s="50" t="str">
        <f t="shared" si="22"/>
        <v/>
      </c>
      <c r="T508" s="50">
        <f t="shared" si="23"/>
        <v>-50</v>
      </c>
      <c r="U508" s="50" t="str">
        <f>IF(Table13232[[#This Row],[Date]]&lt;$U$4,"","Live")</f>
        <v/>
      </c>
      <c r="V508" s="45" t="str">
        <f>TEXT(Table13232[[#This Row],[Date]],"DDD")</f>
        <v>Sat</v>
      </c>
      <c r="W508" s="45" t="str">
        <f>PROPER(TRIM(Table13232[[#This Row],[Horse]]))</f>
        <v>She'S Got Pizzazz</v>
      </c>
    </row>
    <row r="509" spans="1:23" x14ac:dyDescent="0.25">
      <c r="A509" s="43">
        <v>45920</v>
      </c>
      <c r="B509" s="44">
        <v>0.56597222222222221</v>
      </c>
      <c r="C509" s="44" t="s">
        <v>13</v>
      </c>
      <c r="D509" s="45">
        <v>4</v>
      </c>
      <c r="E509" s="45">
        <v>12</v>
      </c>
      <c r="F509" s="46" t="s">
        <v>472</v>
      </c>
      <c r="G509" s="46" t="s">
        <v>21</v>
      </c>
      <c r="H509" s="47">
        <v>4.5999999999999996</v>
      </c>
      <c r="I509" s="52" t="s">
        <v>297</v>
      </c>
      <c r="J509" s="45" t="str">
        <f>VLOOKUP(Table13232[[#This Row],[Track]],$C$836:$E$882,2,FALSE)</f>
        <v>NSW</v>
      </c>
      <c r="K509" s="49">
        <v>100</v>
      </c>
      <c r="L509" s="45">
        <f>IF(Table13232[[#This Row],[Fin]]&lt;&gt;"1st","",Table13232[[#This Row],[Div]]*Table13232[[#This Row],[Lev Bet]])</f>
        <v>459.99999999999994</v>
      </c>
      <c r="M509" s="45">
        <f>IF(Table13232[[#This Row],[Lev Ret]]="",Table13232[[#This Row],[Lev Bet]]*-1,L509-K509)</f>
        <v>359.99999999999994</v>
      </c>
      <c r="N509" s="135">
        <v>150</v>
      </c>
      <c r="O509" s="135">
        <f>IF(Table13232[[#This Row],[Fin]]&lt;&gt;"1st","",Table13232[[#This Row],[Div]]*Table13232[[#This Row],[Nat and Combo Bet]])</f>
        <v>690</v>
      </c>
      <c r="P509" s="135">
        <f>IF(Table13232[[#This Row],[Lev Ret]]="",Table13232[[#This Row],[Nat and Combo Bet]]*-1,O509-N509)</f>
        <v>540</v>
      </c>
      <c r="Q509" s="50">
        <f t="shared" si="21"/>
        <v>1</v>
      </c>
      <c r="R509" s="50">
        <f>IF(AND(Q508=2,Q509=1),"",IF(Q509=2,(N509+N510)/2,IF(Table13232[[#This Row],[Dual Listing]]=1,Table13232[[#This Row],[Nat and Combo Bet]],11)))</f>
        <v>150</v>
      </c>
      <c r="S509" s="50">
        <f t="shared" si="22"/>
        <v>690</v>
      </c>
      <c r="T509" s="50">
        <f t="shared" si="23"/>
        <v>540</v>
      </c>
      <c r="U509" s="50" t="str">
        <f>IF(Table13232[[#This Row],[Date]]&lt;$U$4,"","Live")</f>
        <v/>
      </c>
      <c r="V509" s="45" t="str">
        <f>TEXT(Table13232[[#This Row],[Date]],"DDD")</f>
        <v>Sat</v>
      </c>
      <c r="W509" s="45" t="str">
        <f>PROPER(TRIM(Table13232[[#This Row],[Horse]]))</f>
        <v>Idle Flyer</v>
      </c>
    </row>
    <row r="510" spans="1:23" x14ac:dyDescent="0.25">
      <c r="A510" s="43">
        <v>45920</v>
      </c>
      <c r="B510" s="44">
        <v>0.59375</v>
      </c>
      <c r="C510" s="44" t="s">
        <v>13</v>
      </c>
      <c r="D510" s="45">
        <v>5</v>
      </c>
      <c r="E510" s="45">
        <v>3</v>
      </c>
      <c r="F510" s="46" t="s">
        <v>473</v>
      </c>
      <c r="G510" s="46"/>
      <c r="H510" s="47"/>
      <c r="I510" s="52" t="s">
        <v>297</v>
      </c>
      <c r="J510" s="45" t="str">
        <f>VLOOKUP(Table13232[[#This Row],[Track]],$C$836:$E$882,2,FALSE)</f>
        <v>NSW</v>
      </c>
      <c r="K510" s="49">
        <v>100</v>
      </c>
      <c r="L510" s="45" t="str">
        <f>IF(Table13232[[#This Row],[Fin]]&lt;&gt;"1st","",Table13232[[#This Row],[Div]]*Table13232[[#This Row],[Lev Bet]])</f>
        <v/>
      </c>
      <c r="M510" s="45">
        <f>IF(Table13232[[#This Row],[Lev Ret]]="",Table13232[[#This Row],[Lev Bet]]*-1,L510-K510)</f>
        <v>-100</v>
      </c>
      <c r="N510" s="135">
        <v>150</v>
      </c>
      <c r="O510" s="135" t="str">
        <f>IF(Table13232[[#This Row],[Fin]]&lt;&gt;"1st","",Table13232[[#This Row],[Div]]*Table13232[[#This Row],[Nat and Combo Bet]])</f>
        <v/>
      </c>
      <c r="P510" s="135">
        <f>IF(Table13232[[#This Row],[Lev Ret]]="",Table13232[[#This Row],[Nat and Combo Bet]]*-1,O510-N510)</f>
        <v>-150</v>
      </c>
      <c r="Q510" s="50">
        <f t="shared" si="21"/>
        <v>1</v>
      </c>
      <c r="R510" s="50">
        <f>IF(AND(Q509=2,Q510=1),"",IF(Q510=2,(N510+N511)/2,IF(Table13232[[#This Row],[Dual Listing]]=1,Table13232[[#This Row],[Nat and Combo Bet]],11)))</f>
        <v>150</v>
      </c>
      <c r="S510" s="50" t="str">
        <f t="shared" si="22"/>
        <v/>
      </c>
      <c r="T510" s="50">
        <f t="shared" si="23"/>
        <v>-150</v>
      </c>
      <c r="U510" s="50" t="str">
        <f>IF(Table13232[[#This Row],[Date]]&lt;$U$4,"","Live")</f>
        <v/>
      </c>
      <c r="V510" s="45" t="str">
        <f>TEXT(Table13232[[#This Row],[Date]],"DDD")</f>
        <v>Sat</v>
      </c>
      <c r="W510" s="45" t="str">
        <f>PROPER(TRIM(Table13232[[#This Row],[Horse]]))</f>
        <v>Vauban</v>
      </c>
    </row>
    <row r="511" spans="1:23" x14ac:dyDescent="0.25">
      <c r="A511" s="43">
        <v>45920</v>
      </c>
      <c r="B511" s="44">
        <v>0.61805555555555558</v>
      </c>
      <c r="C511" s="44" t="s">
        <v>13</v>
      </c>
      <c r="D511" s="45">
        <v>6</v>
      </c>
      <c r="E511" s="45">
        <v>2</v>
      </c>
      <c r="F511" s="46" t="s">
        <v>250</v>
      </c>
      <c r="G511" s="46" t="s">
        <v>22</v>
      </c>
      <c r="H511" s="47"/>
      <c r="I511" s="47" t="s">
        <v>298</v>
      </c>
      <c r="J511" s="45" t="str">
        <f>VLOOKUP(Table13232[[#This Row],[Track]],$C$836:$E$882,2,FALSE)</f>
        <v>NSW</v>
      </c>
      <c r="K511" s="49">
        <v>100</v>
      </c>
      <c r="L511" s="45" t="str">
        <f>IF(Table13232[[#This Row],[Fin]]&lt;&gt;"1st","",Table13232[[#This Row],[Div]]*Table13232[[#This Row],[Lev Bet]])</f>
        <v/>
      </c>
      <c r="M511" s="45">
        <f>IF(Table13232[[#This Row],[Lev Ret]]="",Table13232[[#This Row],[Lev Bet]]*-1,L511-K511)</f>
        <v>-100</v>
      </c>
      <c r="N511" s="135">
        <v>150</v>
      </c>
      <c r="O511" s="135" t="str">
        <f>IF(Table13232[[#This Row],[Fin]]&lt;&gt;"1st","",Table13232[[#This Row],[Div]]*Table13232[[#This Row],[Nat and Combo Bet]])</f>
        <v/>
      </c>
      <c r="P511" s="135">
        <f>IF(Table13232[[#This Row],[Lev Ret]]="",Table13232[[#This Row],[Nat and Combo Bet]]*-1,O511-N511)</f>
        <v>-150</v>
      </c>
      <c r="Q511" s="50">
        <f t="shared" si="21"/>
        <v>1</v>
      </c>
      <c r="R511" s="50">
        <f>IF(AND(Q510=2,Q511=1),"",IF(Q511=2,(N511+N512)/2,IF(Table13232[[#This Row],[Dual Listing]]=1,Table13232[[#This Row],[Nat and Combo Bet]],11)))</f>
        <v>150</v>
      </c>
      <c r="S511" s="50" t="str">
        <f t="shared" si="22"/>
        <v/>
      </c>
      <c r="T511" s="50">
        <f t="shared" si="23"/>
        <v>-150</v>
      </c>
      <c r="U511" s="50" t="str">
        <f>IF(Table13232[[#This Row],[Date]]&lt;$U$4,"","Live")</f>
        <v/>
      </c>
      <c r="V511" s="45" t="str">
        <f>TEXT(Table13232[[#This Row],[Date]],"DDD")</f>
        <v>Sat</v>
      </c>
      <c r="W511" s="45" t="str">
        <f>PROPER(TRIM(Table13232[[#This Row],[Horse]]))</f>
        <v>Tupakara</v>
      </c>
    </row>
    <row r="512" spans="1:23" x14ac:dyDescent="0.25">
      <c r="A512" s="43">
        <v>45920</v>
      </c>
      <c r="B512" s="44">
        <v>0.65277777777777779</v>
      </c>
      <c r="C512" s="44" t="s">
        <v>34</v>
      </c>
      <c r="D512" s="45">
        <v>7</v>
      </c>
      <c r="E512" s="45">
        <v>2</v>
      </c>
      <c r="F512" s="46" t="s">
        <v>474</v>
      </c>
      <c r="G512" s="46" t="s">
        <v>23</v>
      </c>
      <c r="H512" s="47"/>
      <c r="I512" s="52" t="s">
        <v>297</v>
      </c>
      <c r="J512" s="45" t="str">
        <f>VLOOKUP(Table13232[[#This Row],[Track]],$C$836:$E$882,2,FALSE)</f>
        <v>Vic</v>
      </c>
      <c r="K512" s="49">
        <v>100</v>
      </c>
      <c r="L512" s="45" t="str">
        <f>IF(Table13232[[#This Row],[Fin]]&lt;&gt;"1st","",Table13232[[#This Row],[Div]]*Table13232[[#This Row],[Lev Bet]])</f>
        <v/>
      </c>
      <c r="M512" s="45">
        <f>IF(Table13232[[#This Row],[Lev Ret]]="",Table13232[[#This Row],[Lev Bet]]*-1,L512-K512)</f>
        <v>-100</v>
      </c>
      <c r="N512" s="135">
        <v>150</v>
      </c>
      <c r="O512" s="135" t="str">
        <f>IF(Table13232[[#This Row],[Fin]]&lt;&gt;"1st","",Table13232[[#This Row],[Div]]*Table13232[[#This Row],[Nat and Combo Bet]])</f>
        <v/>
      </c>
      <c r="P512" s="135">
        <f>IF(Table13232[[#This Row],[Lev Ret]]="",Table13232[[#This Row],[Nat and Combo Bet]]*-1,O512-N512)</f>
        <v>-150</v>
      </c>
      <c r="Q512" s="50">
        <f t="shared" si="21"/>
        <v>1</v>
      </c>
      <c r="R512" s="50">
        <f>IF(AND(Q511=2,Q512=1),"",IF(Q512=2,(N512+N513)/2,IF(Table13232[[#This Row],[Dual Listing]]=1,Table13232[[#This Row],[Nat and Combo Bet]],11)))</f>
        <v>150</v>
      </c>
      <c r="S512" s="50" t="str">
        <f t="shared" si="22"/>
        <v/>
      </c>
      <c r="T512" s="50">
        <f t="shared" si="23"/>
        <v>-150</v>
      </c>
      <c r="U512" s="50" t="str">
        <f>IF(Table13232[[#This Row],[Date]]&lt;$U$4,"","Live")</f>
        <v/>
      </c>
      <c r="V512" s="45" t="str">
        <f>TEXT(Table13232[[#This Row],[Date]],"DDD")</f>
        <v>Sat</v>
      </c>
      <c r="W512" s="45" t="str">
        <f>PROPER(TRIM(Table13232[[#This Row],[Horse]]))</f>
        <v>Buckaroo</v>
      </c>
    </row>
    <row r="513" spans="1:23" x14ac:dyDescent="0.25">
      <c r="A513" s="109">
        <v>45920</v>
      </c>
      <c r="B513" s="53">
        <v>0.65277777777777779</v>
      </c>
      <c r="C513" s="110" t="s">
        <v>34</v>
      </c>
      <c r="D513" s="111">
        <v>7</v>
      </c>
      <c r="E513" s="111">
        <v>9</v>
      </c>
      <c r="F513" s="112" t="s">
        <v>251</v>
      </c>
      <c r="G513" s="112" t="s">
        <v>21</v>
      </c>
      <c r="H513" s="113">
        <v>2.2000000000000002</v>
      </c>
      <c r="I513" s="114" t="s">
        <v>297</v>
      </c>
      <c r="J513" s="45" t="str">
        <f>VLOOKUP(Table13232[[#This Row],[Track]],$C$836:$E$882,2,FALSE)</f>
        <v>Vic</v>
      </c>
      <c r="K513" s="55">
        <v>100</v>
      </c>
      <c r="L513" s="54">
        <f>IF(Table13232[[#This Row],[Fin]]&lt;&gt;"1st","",Table13232[[#This Row],[Div]]*Table13232[[#This Row],[Lev Bet]])</f>
        <v>220.00000000000003</v>
      </c>
      <c r="M513" s="54">
        <f>IF(Table13232[[#This Row],[Lev Ret]]="",Table13232[[#This Row],[Lev Bet]]*-1,L513-K513)</f>
        <v>120.00000000000003</v>
      </c>
      <c r="N513" s="135">
        <v>130</v>
      </c>
      <c r="O513" s="135">
        <f>IF(Table13232[[#This Row],[Fin]]&lt;&gt;"1st","",Table13232[[#This Row],[Div]]*Table13232[[#This Row],[Nat and Combo Bet]])</f>
        <v>286</v>
      </c>
      <c r="P513" s="135">
        <f>IF(Table13232[[#This Row],[Lev Ret]]="",Table13232[[#This Row],[Nat and Combo Bet]]*-1,O513-N513)</f>
        <v>156</v>
      </c>
      <c r="Q513" s="50">
        <f t="shared" si="21"/>
        <v>2</v>
      </c>
      <c r="R513" s="50">
        <f>IF(AND(Q512=2,Q513=1),"",IF(Q513=2,(N513+N514)/2,IF(Table13232[[#This Row],[Dual Listing]]=1,Table13232[[#This Row],[Nat and Combo Bet]],11)))</f>
        <v>165</v>
      </c>
      <c r="S513" s="50">
        <f t="shared" si="22"/>
        <v>363.00000000000006</v>
      </c>
      <c r="T513" s="50">
        <f t="shared" si="23"/>
        <v>198.00000000000006</v>
      </c>
      <c r="U513" s="50" t="str">
        <f>IF(Table13232[[#This Row],[Date]]&lt;$U$4,"","Live")</f>
        <v/>
      </c>
      <c r="V513" s="45" t="str">
        <f>TEXT(Table13232[[#This Row],[Date]],"DDD")</f>
        <v>Sat</v>
      </c>
      <c r="W513" s="45" t="str">
        <f>PROPER(TRIM(Table13232[[#This Row],[Horse]]))</f>
        <v>Sir Delius</v>
      </c>
    </row>
    <row r="514" spans="1:23" x14ac:dyDescent="0.25">
      <c r="A514" s="109">
        <v>45920</v>
      </c>
      <c r="B514" s="53">
        <v>0.65277777777777779</v>
      </c>
      <c r="C514" s="110" t="s">
        <v>34</v>
      </c>
      <c r="D514" s="111">
        <v>7</v>
      </c>
      <c r="E514" s="111">
        <v>9</v>
      </c>
      <c r="F514" s="112" t="s">
        <v>251</v>
      </c>
      <c r="G514" s="112" t="s">
        <v>21</v>
      </c>
      <c r="H514" s="113">
        <v>2.2000000000000002</v>
      </c>
      <c r="I514" s="113" t="s">
        <v>298</v>
      </c>
      <c r="J514" s="45" t="str">
        <f>VLOOKUP(Table13232[[#This Row],[Track]],$C$836:$E$882,2,FALSE)</f>
        <v>Vic</v>
      </c>
      <c r="K514" s="55">
        <v>100</v>
      </c>
      <c r="L514" s="54">
        <f>IF(Table13232[[#This Row],[Fin]]&lt;&gt;"1st","",Table13232[[#This Row],[Div]]*Table13232[[#This Row],[Lev Bet]])</f>
        <v>220.00000000000003</v>
      </c>
      <c r="M514" s="54">
        <f>IF(Table13232[[#This Row],[Lev Ret]]="",Table13232[[#This Row],[Lev Bet]]*-1,L514-K514)</f>
        <v>120.00000000000003</v>
      </c>
      <c r="N514" s="135">
        <v>200</v>
      </c>
      <c r="O514" s="135">
        <f>IF(Table13232[[#This Row],[Fin]]&lt;&gt;"1st","",Table13232[[#This Row],[Div]]*Table13232[[#This Row],[Nat and Combo Bet]])</f>
        <v>440.00000000000006</v>
      </c>
      <c r="P514" s="135">
        <f>IF(Table13232[[#This Row],[Lev Ret]]="",Table13232[[#This Row],[Nat and Combo Bet]]*-1,O514-N514)</f>
        <v>240.00000000000006</v>
      </c>
      <c r="Q514" s="50">
        <f t="shared" si="21"/>
        <v>1</v>
      </c>
      <c r="R514" s="50" t="str">
        <f>IF(AND(Q513=2,Q514=1),"",IF(Q514=2,(N514+N515)/2,IF(Table13232[[#This Row],[Dual Listing]]=1,Table13232[[#This Row],[Nat and Combo Bet]],11)))</f>
        <v/>
      </c>
      <c r="S514" s="50" t="str">
        <f t="shared" si="22"/>
        <v/>
      </c>
      <c r="T514" s="50" t="str">
        <f t="shared" si="23"/>
        <v/>
      </c>
      <c r="U514" s="50" t="str">
        <f>IF(Table13232[[#This Row],[Date]]&lt;$U$4,"","Live")</f>
        <v/>
      </c>
      <c r="V514" s="45" t="str">
        <f>TEXT(Table13232[[#This Row],[Date]],"DDD")</f>
        <v>Sat</v>
      </c>
      <c r="W514" s="45" t="str">
        <f>PROPER(TRIM(Table13232[[#This Row],[Horse]]))</f>
        <v>Sir Delius</v>
      </c>
    </row>
    <row r="515" spans="1:23" x14ac:dyDescent="0.25">
      <c r="A515" s="109">
        <v>45920</v>
      </c>
      <c r="B515" s="53">
        <v>0.66666666666666663</v>
      </c>
      <c r="C515" s="110" t="s">
        <v>13</v>
      </c>
      <c r="D515" s="111">
        <v>8</v>
      </c>
      <c r="E515" s="111">
        <v>11</v>
      </c>
      <c r="F515" s="112" t="s">
        <v>252</v>
      </c>
      <c r="G515" s="112" t="s">
        <v>21</v>
      </c>
      <c r="H515" s="113">
        <v>2.0499999999999998</v>
      </c>
      <c r="I515" s="114" t="s">
        <v>297</v>
      </c>
      <c r="J515" s="45" t="str">
        <f>VLOOKUP(Table13232[[#This Row],[Track]],$C$836:$E$882,2,FALSE)</f>
        <v>NSW</v>
      </c>
      <c r="K515" s="55">
        <v>100</v>
      </c>
      <c r="L515" s="54">
        <f>IF(Table13232[[#This Row],[Fin]]&lt;&gt;"1st","",Table13232[[#This Row],[Div]]*Table13232[[#This Row],[Lev Bet]])</f>
        <v>204.99999999999997</v>
      </c>
      <c r="M515" s="54">
        <f>IF(Table13232[[#This Row],[Lev Ret]]="",Table13232[[#This Row],[Lev Bet]]*-1,L515-K515)</f>
        <v>104.99999999999997</v>
      </c>
      <c r="N515" s="135">
        <v>200</v>
      </c>
      <c r="O515" s="135">
        <f>IF(Table13232[[#This Row],[Fin]]&lt;&gt;"1st","",Table13232[[#This Row],[Div]]*Table13232[[#This Row],[Nat and Combo Bet]])</f>
        <v>409.99999999999994</v>
      </c>
      <c r="P515" s="135">
        <f>IF(Table13232[[#This Row],[Lev Ret]]="",Table13232[[#This Row],[Nat and Combo Bet]]*-1,O515-N515)</f>
        <v>209.99999999999994</v>
      </c>
      <c r="Q515" s="50">
        <f t="shared" si="21"/>
        <v>2</v>
      </c>
      <c r="R515" s="50">
        <f>IF(AND(Q514=2,Q515=1),"",IF(Q515=2,(N515+N516)/2,IF(Table13232[[#This Row],[Dual Listing]]=1,Table13232[[#This Row],[Nat and Combo Bet]],11)))</f>
        <v>175</v>
      </c>
      <c r="S515" s="50">
        <f t="shared" si="22"/>
        <v>358.74999999999994</v>
      </c>
      <c r="T515" s="50">
        <f t="shared" si="23"/>
        <v>183.74999999999994</v>
      </c>
      <c r="U515" s="50" t="str">
        <f>IF(Table13232[[#This Row],[Date]]&lt;$U$4,"","Live")</f>
        <v/>
      </c>
      <c r="V515" s="45" t="str">
        <f>TEXT(Table13232[[#This Row],[Date]],"DDD")</f>
        <v>Sat</v>
      </c>
      <c r="W515" s="45" t="str">
        <f>PROPER(TRIM(Table13232[[#This Row],[Horse]]))</f>
        <v>Fangirl</v>
      </c>
    </row>
    <row r="516" spans="1:23" x14ac:dyDescent="0.25">
      <c r="A516" s="109">
        <v>45920</v>
      </c>
      <c r="B516" s="53">
        <v>0.66666666666666663</v>
      </c>
      <c r="C516" s="110" t="s">
        <v>13</v>
      </c>
      <c r="D516" s="111">
        <v>8</v>
      </c>
      <c r="E516" s="111">
        <v>11</v>
      </c>
      <c r="F516" s="112" t="s">
        <v>252</v>
      </c>
      <c r="G516" s="112" t="s">
        <v>21</v>
      </c>
      <c r="H516" s="113">
        <v>2.0499999999999998</v>
      </c>
      <c r="I516" s="113" t="s">
        <v>298</v>
      </c>
      <c r="J516" s="45" t="str">
        <f>VLOOKUP(Table13232[[#This Row],[Track]],$C$836:$E$882,2,FALSE)</f>
        <v>NSW</v>
      </c>
      <c r="K516" s="55">
        <v>100</v>
      </c>
      <c r="L516" s="54">
        <f>IF(Table13232[[#This Row],[Fin]]&lt;&gt;"1st","",Table13232[[#This Row],[Div]]*Table13232[[#This Row],[Lev Bet]])</f>
        <v>204.99999999999997</v>
      </c>
      <c r="M516" s="54">
        <f>IF(Table13232[[#This Row],[Lev Ret]]="",Table13232[[#This Row],[Lev Bet]]*-1,L516-K516)</f>
        <v>104.99999999999997</v>
      </c>
      <c r="N516" s="135">
        <v>150</v>
      </c>
      <c r="O516" s="135">
        <f>IF(Table13232[[#This Row],[Fin]]&lt;&gt;"1st","",Table13232[[#This Row],[Div]]*Table13232[[#This Row],[Nat and Combo Bet]])</f>
        <v>307.5</v>
      </c>
      <c r="P516" s="135">
        <f>IF(Table13232[[#This Row],[Lev Ret]]="",Table13232[[#This Row],[Nat and Combo Bet]]*-1,O516-N516)</f>
        <v>157.5</v>
      </c>
      <c r="Q516" s="50">
        <f t="shared" si="21"/>
        <v>1</v>
      </c>
      <c r="R516" s="50" t="str">
        <f>IF(AND(Q515=2,Q516=1),"",IF(Q516=2,(N516+N517)/2,IF(Table13232[[#This Row],[Dual Listing]]=1,Table13232[[#This Row],[Nat and Combo Bet]],11)))</f>
        <v/>
      </c>
      <c r="S516" s="50" t="str">
        <f t="shared" si="22"/>
        <v/>
      </c>
      <c r="T516" s="50" t="str">
        <f t="shared" si="23"/>
        <v/>
      </c>
      <c r="U516" s="50" t="str">
        <f>IF(Table13232[[#This Row],[Date]]&lt;$U$4,"","Live")</f>
        <v/>
      </c>
      <c r="V516" s="45" t="str">
        <f>TEXT(Table13232[[#This Row],[Date]],"DDD")</f>
        <v>Sat</v>
      </c>
      <c r="W516" s="45" t="str">
        <f>PROPER(TRIM(Table13232[[#This Row],[Horse]]))</f>
        <v>Fangirl</v>
      </c>
    </row>
    <row r="517" spans="1:23" x14ac:dyDescent="0.25">
      <c r="A517" s="43">
        <v>45920</v>
      </c>
      <c r="B517" s="44">
        <v>0.68055555555555558</v>
      </c>
      <c r="C517" s="44" t="s">
        <v>34</v>
      </c>
      <c r="D517" s="45">
        <v>8</v>
      </c>
      <c r="E517" s="45">
        <v>9</v>
      </c>
      <c r="F517" s="46" t="s">
        <v>376</v>
      </c>
      <c r="G517" s="46"/>
      <c r="H517" s="47"/>
      <c r="I517" s="52" t="s">
        <v>297</v>
      </c>
      <c r="J517" s="45" t="str">
        <f>VLOOKUP(Table13232[[#This Row],[Track]],$C$836:$E$882,2,FALSE)</f>
        <v>Vic</v>
      </c>
      <c r="K517" s="49">
        <v>100</v>
      </c>
      <c r="L517" s="45" t="str">
        <f>IF(Table13232[[#This Row],[Fin]]&lt;&gt;"1st","",Table13232[[#This Row],[Div]]*Table13232[[#This Row],[Lev Bet]])</f>
        <v/>
      </c>
      <c r="M517" s="45">
        <f>IF(Table13232[[#This Row],[Lev Ret]]="",Table13232[[#This Row],[Lev Bet]]*-1,L517-K517)</f>
        <v>-100</v>
      </c>
      <c r="N517" s="135">
        <v>150</v>
      </c>
      <c r="O517" s="135" t="str">
        <f>IF(Table13232[[#This Row],[Fin]]&lt;&gt;"1st","",Table13232[[#This Row],[Div]]*Table13232[[#This Row],[Nat and Combo Bet]])</f>
        <v/>
      </c>
      <c r="P517" s="135">
        <f>IF(Table13232[[#This Row],[Lev Ret]]="",Table13232[[#This Row],[Nat and Combo Bet]]*-1,O517-N517)</f>
        <v>-150</v>
      </c>
      <c r="Q517" s="50">
        <f t="shared" si="21"/>
        <v>1</v>
      </c>
      <c r="R517" s="50">
        <f>IF(AND(Q516=2,Q517=1),"",IF(Q517=2,(N517+N518)/2,IF(Table13232[[#This Row],[Dual Listing]]=1,Table13232[[#This Row],[Nat and Combo Bet]],11)))</f>
        <v>150</v>
      </c>
      <c r="S517" s="50" t="str">
        <f t="shared" si="22"/>
        <v/>
      </c>
      <c r="T517" s="50">
        <f t="shared" si="23"/>
        <v>-150</v>
      </c>
      <c r="U517" s="50" t="str">
        <f>IF(Table13232[[#This Row],[Date]]&lt;$U$4,"","Live")</f>
        <v/>
      </c>
      <c r="V517" s="45" t="str">
        <f>TEXT(Table13232[[#This Row],[Date]],"DDD")</f>
        <v>Sat</v>
      </c>
      <c r="W517" s="45" t="str">
        <f>PROPER(TRIM(Table13232[[#This Row],[Horse]]))</f>
        <v>Angel Capital</v>
      </c>
    </row>
    <row r="518" spans="1:23" x14ac:dyDescent="0.25">
      <c r="A518" s="43">
        <v>45920</v>
      </c>
      <c r="B518" s="44">
        <v>0.68055555555555558</v>
      </c>
      <c r="C518" s="44" t="s">
        <v>34</v>
      </c>
      <c r="D518" s="45">
        <v>8</v>
      </c>
      <c r="E518" s="45">
        <v>16</v>
      </c>
      <c r="F518" s="46" t="s">
        <v>103</v>
      </c>
      <c r="G518" s="46" t="s">
        <v>21</v>
      </c>
      <c r="H518" s="47">
        <v>3.9</v>
      </c>
      <c r="I518" s="47" t="s">
        <v>298</v>
      </c>
      <c r="J518" s="45" t="str">
        <f>VLOOKUP(Table13232[[#This Row],[Track]],$C$836:$E$882,2,FALSE)</f>
        <v>Vic</v>
      </c>
      <c r="K518" s="49">
        <v>100</v>
      </c>
      <c r="L518" s="45">
        <f>IF(Table13232[[#This Row],[Fin]]&lt;&gt;"1st","",Table13232[[#This Row],[Div]]*Table13232[[#This Row],[Lev Bet]])</f>
        <v>390</v>
      </c>
      <c r="M518" s="45">
        <f>IF(Table13232[[#This Row],[Lev Ret]]="",Table13232[[#This Row],[Lev Bet]]*-1,L518-K518)</f>
        <v>290</v>
      </c>
      <c r="N518" s="135">
        <v>100</v>
      </c>
      <c r="O518" s="135">
        <f>IF(Table13232[[#This Row],[Fin]]&lt;&gt;"1st","",Table13232[[#This Row],[Div]]*Table13232[[#This Row],[Nat and Combo Bet]])</f>
        <v>390</v>
      </c>
      <c r="P518" s="135">
        <f>IF(Table13232[[#This Row],[Lev Ret]]="",Table13232[[#This Row],[Nat and Combo Bet]]*-1,O518-N518)</f>
        <v>290</v>
      </c>
      <c r="Q518" s="50">
        <f t="shared" si="21"/>
        <v>1</v>
      </c>
      <c r="R518" s="50">
        <f>IF(AND(Q517=2,Q518=1),"",IF(Q518=2,(N518+N519)/2,IF(Table13232[[#This Row],[Dual Listing]]=1,Table13232[[#This Row],[Nat and Combo Bet]],11)))</f>
        <v>100</v>
      </c>
      <c r="S518" s="50">
        <f t="shared" si="22"/>
        <v>390</v>
      </c>
      <c r="T518" s="50">
        <f t="shared" si="23"/>
        <v>290</v>
      </c>
      <c r="U518" s="50" t="str">
        <f>IF(Table13232[[#This Row],[Date]]&lt;$U$4,"","Live")</f>
        <v/>
      </c>
      <c r="V518" s="45" t="str">
        <f>TEXT(Table13232[[#This Row],[Date]],"DDD")</f>
        <v>Sat</v>
      </c>
      <c r="W518" s="45" t="str">
        <f>PROPER(TRIM(Table13232[[#This Row],[Horse]]))</f>
        <v>Sepals</v>
      </c>
    </row>
    <row r="519" spans="1:23" x14ac:dyDescent="0.25">
      <c r="A519" s="43">
        <v>45920</v>
      </c>
      <c r="B519" s="44">
        <v>0.72569444444444442</v>
      </c>
      <c r="C519" s="44" t="s">
        <v>34</v>
      </c>
      <c r="D519" s="45">
        <v>10</v>
      </c>
      <c r="E519" s="45">
        <v>10</v>
      </c>
      <c r="F519" s="46" t="s">
        <v>475</v>
      </c>
      <c r="G519" s="46"/>
      <c r="H519" s="47"/>
      <c r="I519" s="52" t="s">
        <v>297</v>
      </c>
      <c r="J519" s="45" t="str">
        <f>VLOOKUP(Table13232[[#This Row],[Track]],$C$836:$E$882,2,FALSE)</f>
        <v>Vic</v>
      </c>
      <c r="K519" s="49">
        <v>100</v>
      </c>
      <c r="L519" s="45" t="str">
        <f>IF(Table13232[[#This Row],[Fin]]&lt;&gt;"1st","",Table13232[[#This Row],[Div]]*Table13232[[#This Row],[Lev Bet]])</f>
        <v/>
      </c>
      <c r="M519" s="45">
        <f>IF(Table13232[[#This Row],[Lev Ret]]="",Table13232[[#This Row],[Lev Bet]]*-1,L519-K519)</f>
        <v>-100</v>
      </c>
      <c r="N519" s="135">
        <v>150</v>
      </c>
      <c r="O519" s="135" t="str">
        <f>IF(Table13232[[#This Row],[Fin]]&lt;&gt;"1st","",Table13232[[#This Row],[Div]]*Table13232[[#This Row],[Nat and Combo Bet]])</f>
        <v/>
      </c>
      <c r="P519" s="135">
        <f>IF(Table13232[[#This Row],[Lev Ret]]="",Table13232[[#This Row],[Nat and Combo Bet]]*-1,O519-N519)</f>
        <v>-150</v>
      </c>
      <c r="Q519" s="50">
        <f t="shared" ref="Q519:Q582" si="24">IF(AND(A520=A519,F520=F519),2,1)</f>
        <v>1</v>
      </c>
      <c r="R519" s="50">
        <f>IF(AND(Q518=2,Q519=1),"",IF(Q519=2,(N519+N520)/2,IF(Table13232[[#This Row],[Dual Listing]]=1,Table13232[[#This Row],[Nat and Combo Bet]],11)))</f>
        <v>150</v>
      </c>
      <c r="S519" s="50" t="str">
        <f t="shared" ref="S519:S582" si="25">IF(R519="","",IF(O519="","",R519*H519))</f>
        <v/>
      </c>
      <c r="T519" s="50">
        <f t="shared" ref="T519:T582" si="26">IF(R519="","",IF(S519="",R519*-1,S519-R519))</f>
        <v>-150</v>
      </c>
      <c r="U519" s="50" t="str">
        <f>IF(Table13232[[#This Row],[Date]]&lt;$U$4,"","Live")</f>
        <v/>
      </c>
      <c r="V519" s="45" t="str">
        <f>TEXT(Table13232[[#This Row],[Date]],"DDD")</f>
        <v>Sat</v>
      </c>
      <c r="W519" s="45" t="str">
        <f>PROPER(TRIM(Table13232[[#This Row],[Horse]]))</f>
        <v>Mr Verse</v>
      </c>
    </row>
    <row r="520" spans="1:23" x14ac:dyDescent="0.25">
      <c r="A520" s="109">
        <v>45926</v>
      </c>
      <c r="B520" s="53">
        <v>0.76041666666666663</v>
      </c>
      <c r="C520" s="110" t="s">
        <v>36</v>
      </c>
      <c r="D520" s="111">
        <v>1</v>
      </c>
      <c r="E520" s="111">
        <v>8</v>
      </c>
      <c r="F520" s="112" t="s">
        <v>254</v>
      </c>
      <c r="G520" s="112" t="s">
        <v>21</v>
      </c>
      <c r="H520" s="113">
        <v>11</v>
      </c>
      <c r="I520" s="114" t="s">
        <v>297</v>
      </c>
      <c r="J520" s="45" t="str">
        <f>VLOOKUP(Table13232[[#This Row],[Track]],$C$836:$E$882,2,FALSE)</f>
        <v>Vic</v>
      </c>
      <c r="K520" s="55">
        <v>100</v>
      </c>
      <c r="L520" s="54">
        <f>IF(Table13232[[#This Row],[Fin]]&lt;&gt;"1st","",Table13232[[#This Row],[Div]]*Table13232[[#This Row],[Lev Bet]])</f>
        <v>1100</v>
      </c>
      <c r="M520" s="54">
        <f>IF(Table13232[[#This Row],[Lev Ret]]="",Table13232[[#This Row],[Lev Bet]]*-1,L520-K520)</f>
        <v>1000</v>
      </c>
      <c r="N520" s="135">
        <v>100</v>
      </c>
      <c r="O520" s="135">
        <f>IF(Table13232[[#This Row],[Fin]]&lt;&gt;"1st","",Table13232[[#This Row],[Div]]*Table13232[[#This Row],[Nat and Combo Bet]])</f>
        <v>1100</v>
      </c>
      <c r="P520" s="135">
        <f>IF(Table13232[[#This Row],[Lev Ret]]="",Table13232[[#This Row],[Nat and Combo Bet]]*-1,O520-N520)</f>
        <v>1000</v>
      </c>
      <c r="Q520" s="50">
        <f t="shared" si="24"/>
        <v>2</v>
      </c>
      <c r="R520" s="50">
        <f>IF(AND(Q519=2,Q520=1),"",IF(Q520=2,(N520+N521)/2,IF(Table13232[[#This Row],[Dual Listing]]=1,Table13232[[#This Row],[Nat and Combo Bet]],11)))</f>
        <v>100</v>
      </c>
      <c r="S520" s="50">
        <f t="shared" si="25"/>
        <v>1100</v>
      </c>
      <c r="T520" s="50">
        <f t="shared" si="26"/>
        <v>1000</v>
      </c>
      <c r="U520" s="50" t="str">
        <f>IF(Table13232[[#This Row],[Date]]&lt;$U$4,"","Live")</f>
        <v>Live</v>
      </c>
      <c r="V520" s="45" t="str">
        <f>TEXT(Table13232[[#This Row],[Date]],"DDD")</f>
        <v>Fri</v>
      </c>
      <c r="W520" s="45" t="str">
        <f>PROPER(TRIM(Table13232[[#This Row],[Horse]]))</f>
        <v>Charcoals</v>
      </c>
    </row>
    <row r="521" spans="1:23" x14ac:dyDescent="0.25">
      <c r="A521" s="109">
        <v>45926</v>
      </c>
      <c r="B521" s="53">
        <v>0.76041666666666663</v>
      </c>
      <c r="C521" s="110" t="s">
        <v>36</v>
      </c>
      <c r="D521" s="111">
        <v>1</v>
      </c>
      <c r="E521" s="111">
        <v>8</v>
      </c>
      <c r="F521" s="112" t="s">
        <v>254</v>
      </c>
      <c r="G521" s="112" t="s">
        <v>21</v>
      </c>
      <c r="H521" s="113">
        <v>11</v>
      </c>
      <c r="I521" s="113" t="s">
        <v>298</v>
      </c>
      <c r="J521" s="45" t="str">
        <f>VLOOKUP(Table13232[[#This Row],[Track]],$C$836:$E$882,2,FALSE)</f>
        <v>Vic</v>
      </c>
      <c r="K521" s="55">
        <v>100</v>
      </c>
      <c r="L521" s="54">
        <f>IF(Table13232[[#This Row],[Fin]]&lt;&gt;"1st","",Table13232[[#This Row],[Div]]*Table13232[[#This Row],[Lev Bet]])</f>
        <v>1100</v>
      </c>
      <c r="M521" s="54">
        <f>IF(Table13232[[#This Row],[Lev Ret]]="",Table13232[[#This Row],[Lev Bet]]*-1,L521-K521)</f>
        <v>1000</v>
      </c>
      <c r="N521" s="135">
        <v>100</v>
      </c>
      <c r="O521" s="135">
        <f>IF(Table13232[[#This Row],[Fin]]&lt;&gt;"1st","",Table13232[[#This Row],[Div]]*Table13232[[#This Row],[Nat and Combo Bet]])</f>
        <v>1100</v>
      </c>
      <c r="P521" s="135">
        <f>IF(Table13232[[#This Row],[Lev Ret]]="",Table13232[[#This Row],[Nat and Combo Bet]]*-1,O521-N521)</f>
        <v>1000</v>
      </c>
      <c r="Q521" s="50">
        <f t="shared" si="24"/>
        <v>1</v>
      </c>
      <c r="R521" s="50" t="str">
        <f>IF(AND(Q520=2,Q521=1),"",IF(Q521=2,(N521+N522)/2,IF(Table13232[[#This Row],[Dual Listing]]=1,Table13232[[#This Row],[Nat and Combo Bet]],11)))</f>
        <v/>
      </c>
      <c r="S521" s="50" t="str">
        <f t="shared" si="25"/>
        <v/>
      </c>
      <c r="T521" s="50" t="str">
        <f t="shared" si="26"/>
        <v/>
      </c>
      <c r="U521" s="50" t="str">
        <f>IF(Table13232[[#This Row],[Date]]&lt;$U$4,"","Live")</f>
        <v>Live</v>
      </c>
      <c r="V521" s="45" t="str">
        <f>TEXT(Table13232[[#This Row],[Date]],"DDD")</f>
        <v>Fri</v>
      </c>
      <c r="W521" s="45" t="str">
        <f>PROPER(TRIM(Table13232[[#This Row],[Horse]]))</f>
        <v>Charcoals</v>
      </c>
    </row>
    <row r="522" spans="1:23" x14ac:dyDescent="0.25">
      <c r="A522" s="43">
        <v>45926</v>
      </c>
      <c r="B522" s="44">
        <v>0.86458333333333337</v>
      </c>
      <c r="C522" s="44" t="s">
        <v>36</v>
      </c>
      <c r="D522" s="45">
        <v>6</v>
      </c>
      <c r="E522" s="45">
        <v>6</v>
      </c>
      <c r="F522" s="46" t="s">
        <v>151</v>
      </c>
      <c r="G522" s="46" t="s">
        <v>23</v>
      </c>
      <c r="H522" s="47"/>
      <c r="I522" s="52" t="s">
        <v>297</v>
      </c>
      <c r="J522" s="45" t="str">
        <f>VLOOKUP(Table13232[[#This Row],[Track]],$C$836:$E$882,2,FALSE)</f>
        <v>Vic</v>
      </c>
      <c r="K522" s="49">
        <v>100</v>
      </c>
      <c r="L522" s="45" t="str">
        <f>IF(Table13232[[#This Row],[Fin]]&lt;&gt;"1st","",Table13232[[#This Row],[Div]]*Table13232[[#This Row],[Lev Bet]])</f>
        <v/>
      </c>
      <c r="M522" s="45">
        <f>IF(Table13232[[#This Row],[Lev Ret]]="",Table13232[[#This Row],[Lev Bet]]*-1,L522-K522)</f>
        <v>-100</v>
      </c>
      <c r="N522" s="135">
        <v>120</v>
      </c>
      <c r="O522" s="135" t="str">
        <f>IF(Table13232[[#This Row],[Fin]]&lt;&gt;"1st","",Table13232[[#This Row],[Div]]*Table13232[[#This Row],[Nat and Combo Bet]])</f>
        <v/>
      </c>
      <c r="P522" s="135">
        <f>IF(Table13232[[#This Row],[Lev Ret]]="",Table13232[[#This Row],[Nat and Combo Bet]]*-1,O522-N522)</f>
        <v>-120</v>
      </c>
      <c r="Q522" s="50">
        <f t="shared" si="24"/>
        <v>1</v>
      </c>
      <c r="R522" s="50">
        <f>IF(AND(Q521=2,Q522=1),"",IF(Q522=2,(N522+N523)/2,IF(Table13232[[#This Row],[Dual Listing]]=1,Table13232[[#This Row],[Nat and Combo Bet]],11)))</f>
        <v>120</v>
      </c>
      <c r="S522" s="50" t="str">
        <f t="shared" si="25"/>
        <v/>
      </c>
      <c r="T522" s="50">
        <f t="shared" si="26"/>
        <v>-120</v>
      </c>
      <c r="U522" s="50" t="str">
        <f>IF(Table13232[[#This Row],[Date]]&lt;$U$4,"","Live")</f>
        <v>Live</v>
      </c>
      <c r="V522" s="45" t="str">
        <f>TEXT(Table13232[[#This Row],[Date]],"DDD")</f>
        <v>Fri</v>
      </c>
      <c r="W522" s="45" t="str">
        <f>PROPER(TRIM(Table13232[[#This Row],[Horse]]))</f>
        <v>Treasurethe Moment</v>
      </c>
    </row>
    <row r="523" spans="1:23" x14ac:dyDescent="0.25">
      <c r="A523" s="109">
        <v>45926</v>
      </c>
      <c r="B523" s="53">
        <v>0.90625</v>
      </c>
      <c r="C523" s="110" t="s">
        <v>36</v>
      </c>
      <c r="D523" s="111">
        <v>8</v>
      </c>
      <c r="E523" s="111">
        <v>7</v>
      </c>
      <c r="F523" s="112" t="s">
        <v>78</v>
      </c>
      <c r="G523" s="112"/>
      <c r="H523" s="113"/>
      <c r="I523" s="114" t="s">
        <v>297</v>
      </c>
      <c r="J523" s="45" t="str">
        <f>VLOOKUP(Table13232[[#This Row],[Track]],$C$836:$E$882,2,FALSE)</f>
        <v>Vic</v>
      </c>
      <c r="K523" s="55">
        <v>100</v>
      </c>
      <c r="L523" s="54" t="str">
        <f>IF(Table13232[[#This Row],[Fin]]&lt;&gt;"1st","",Table13232[[#This Row],[Div]]*Table13232[[#This Row],[Lev Bet]])</f>
        <v/>
      </c>
      <c r="M523" s="54">
        <f>IF(Table13232[[#This Row],[Lev Ret]]="",Table13232[[#This Row],[Lev Bet]]*-1,L523-K523)</f>
        <v>-100</v>
      </c>
      <c r="N523" s="135">
        <v>200</v>
      </c>
      <c r="O523" s="135" t="str">
        <f>IF(Table13232[[#This Row],[Fin]]&lt;&gt;"1st","",Table13232[[#This Row],[Div]]*Table13232[[#This Row],[Nat and Combo Bet]])</f>
        <v/>
      </c>
      <c r="P523" s="135">
        <f>IF(Table13232[[#This Row],[Lev Ret]]="",Table13232[[#This Row],[Nat and Combo Bet]]*-1,O523-N523)</f>
        <v>-200</v>
      </c>
      <c r="Q523" s="50">
        <f t="shared" si="24"/>
        <v>2</v>
      </c>
      <c r="R523" s="50">
        <f>IF(AND(Q522=2,Q523=1),"",IF(Q523=2,(N523+N524)/2,IF(Table13232[[#This Row],[Dual Listing]]=1,Table13232[[#This Row],[Nat and Combo Bet]],11)))</f>
        <v>200</v>
      </c>
      <c r="S523" s="50" t="str">
        <f t="shared" si="25"/>
        <v/>
      </c>
      <c r="T523" s="50">
        <f t="shared" si="26"/>
        <v>-200</v>
      </c>
      <c r="U523" s="50" t="str">
        <f>IF(Table13232[[#This Row],[Date]]&lt;$U$4,"","Live")</f>
        <v>Live</v>
      </c>
      <c r="V523" s="45" t="str">
        <f>TEXT(Table13232[[#This Row],[Date]],"DDD")</f>
        <v>Fri</v>
      </c>
      <c r="W523" s="45" t="str">
        <f>PROPER(TRIM(Table13232[[#This Row],[Horse]]))</f>
        <v>Oh Too Good</v>
      </c>
    </row>
    <row r="524" spans="1:23" x14ac:dyDescent="0.25">
      <c r="A524" s="109">
        <v>45926</v>
      </c>
      <c r="B524" s="53">
        <v>0.90625</v>
      </c>
      <c r="C524" s="110" t="s">
        <v>36</v>
      </c>
      <c r="D524" s="111">
        <v>8</v>
      </c>
      <c r="E524" s="111">
        <v>7</v>
      </c>
      <c r="F524" s="112" t="s">
        <v>78</v>
      </c>
      <c r="G524" s="112"/>
      <c r="H524" s="113"/>
      <c r="I524" s="113" t="s">
        <v>298</v>
      </c>
      <c r="J524" s="45" t="str">
        <f>VLOOKUP(Table13232[[#This Row],[Track]],$C$836:$E$882,2,FALSE)</f>
        <v>Vic</v>
      </c>
      <c r="K524" s="55">
        <v>100</v>
      </c>
      <c r="L524" s="54" t="str">
        <f>IF(Table13232[[#This Row],[Fin]]&lt;&gt;"1st","",Table13232[[#This Row],[Div]]*Table13232[[#This Row],[Lev Bet]])</f>
        <v/>
      </c>
      <c r="M524" s="54">
        <f>IF(Table13232[[#This Row],[Lev Ret]]="",Table13232[[#This Row],[Lev Bet]]*-1,L524-K524)</f>
        <v>-100</v>
      </c>
      <c r="N524" s="135">
        <v>200</v>
      </c>
      <c r="O524" s="135" t="str">
        <f>IF(Table13232[[#This Row],[Fin]]&lt;&gt;"1st","",Table13232[[#This Row],[Div]]*Table13232[[#This Row],[Nat and Combo Bet]])</f>
        <v/>
      </c>
      <c r="P524" s="135">
        <f>IF(Table13232[[#This Row],[Lev Ret]]="",Table13232[[#This Row],[Nat and Combo Bet]]*-1,O524-N524)</f>
        <v>-200</v>
      </c>
      <c r="Q524" s="50">
        <f t="shared" si="24"/>
        <v>1</v>
      </c>
      <c r="R524" s="50" t="str">
        <f>IF(AND(Q523=2,Q524=1),"",IF(Q524=2,(N524+N525)/2,IF(Table13232[[#This Row],[Dual Listing]]=1,Table13232[[#This Row],[Nat and Combo Bet]],11)))</f>
        <v/>
      </c>
      <c r="S524" s="50" t="str">
        <f t="shared" si="25"/>
        <v/>
      </c>
      <c r="T524" s="50" t="str">
        <f t="shared" si="26"/>
        <v/>
      </c>
      <c r="U524" s="50" t="str">
        <f>IF(Table13232[[#This Row],[Date]]&lt;$U$4,"","Live")</f>
        <v>Live</v>
      </c>
      <c r="V524" s="45" t="str">
        <f>TEXT(Table13232[[#This Row],[Date]],"DDD")</f>
        <v>Fri</v>
      </c>
      <c r="W524" s="45" t="str">
        <f>PROPER(TRIM(Table13232[[#This Row],[Horse]]))</f>
        <v>Oh Too Good</v>
      </c>
    </row>
    <row r="525" spans="1:23" x14ac:dyDescent="0.25">
      <c r="A525" s="43">
        <v>45927</v>
      </c>
      <c r="B525" s="44">
        <v>0.49652777777777779</v>
      </c>
      <c r="C525" s="44" t="s">
        <v>11</v>
      </c>
      <c r="D525" s="45">
        <v>1</v>
      </c>
      <c r="E525" s="45">
        <v>1</v>
      </c>
      <c r="F525" s="46" t="s">
        <v>290</v>
      </c>
      <c r="G525" s="46" t="s">
        <v>23</v>
      </c>
      <c r="H525" s="47"/>
      <c r="I525" s="52" t="s">
        <v>297</v>
      </c>
      <c r="J525" s="45" t="str">
        <f>VLOOKUP(Table13232[[#This Row],[Track]],$C$836:$E$882,2,FALSE)</f>
        <v>NSW</v>
      </c>
      <c r="K525" s="49">
        <v>100</v>
      </c>
      <c r="L525" s="45" t="str">
        <f>IF(Table13232[[#This Row],[Fin]]&lt;&gt;"1st","",Table13232[[#This Row],[Div]]*Table13232[[#This Row],[Lev Bet]])</f>
        <v/>
      </c>
      <c r="M525" s="45">
        <f>IF(Table13232[[#This Row],[Lev Ret]]="",Table13232[[#This Row],[Lev Bet]]*-1,L525-K525)</f>
        <v>-100</v>
      </c>
      <c r="N525" s="135">
        <v>150</v>
      </c>
      <c r="O525" s="135" t="str">
        <f>IF(Table13232[[#This Row],[Fin]]&lt;&gt;"1st","",Table13232[[#This Row],[Div]]*Table13232[[#This Row],[Nat and Combo Bet]])</f>
        <v/>
      </c>
      <c r="P525" s="135">
        <f>IF(Table13232[[#This Row],[Lev Ret]]="",Table13232[[#This Row],[Nat and Combo Bet]]*-1,O525-N525)</f>
        <v>-150</v>
      </c>
      <c r="Q525" s="50">
        <f t="shared" si="24"/>
        <v>1</v>
      </c>
      <c r="R525" s="50">
        <f>IF(AND(Q524=2,Q525=1),"",IF(Q525=2,(N525+N526)/2,IF(Table13232[[#This Row],[Dual Listing]]=1,Table13232[[#This Row],[Nat and Combo Bet]],11)))</f>
        <v>150</v>
      </c>
      <c r="S525" s="50" t="str">
        <f t="shared" si="25"/>
        <v/>
      </c>
      <c r="T525" s="50">
        <f t="shared" si="26"/>
        <v>-150</v>
      </c>
      <c r="U525" s="50" t="str">
        <f>IF(Table13232[[#This Row],[Date]]&lt;$U$4,"","Live")</f>
        <v>Live</v>
      </c>
      <c r="V525" s="45" t="str">
        <f>TEXT(Table13232[[#This Row],[Date]],"DDD")</f>
        <v>Sat</v>
      </c>
      <c r="W525" s="45" t="str">
        <f>PROPER(TRIM(Table13232[[#This Row],[Horse]]))</f>
        <v>Alabama State</v>
      </c>
    </row>
    <row r="526" spans="1:23" x14ac:dyDescent="0.25">
      <c r="A526" s="109">
        <v>45927</v>
      </c>
      <c r="B526" s="53">
        <v>0.53125</v>
      </c>
      <c r="C526" s="110" t="s">
        <v>15</v>
      </c>
      <c r="D526" s="111">
        <v>2</v>
      </c>
      <c r="E526" s="111">
        <v>8</v>
      </c>
      <c r="F526" s="112" t="s">
        <v>255</v>
      </c>
      <c r="G526" s="112" t="s">
        <v>22</v>
      </c>
      <c r="H526" s="113"/>
      <c r="I526" s="114" t="s">
        <v>297</v>
      </c>
      <c r="J526" s="45" t="str">
        <f>VLOOKUP(Table13232[[#This Row],[Track]],$C$836:$E$882,2,FALSE)</f>
        <v>Vic</v>
      </c>
      <c r="K526" s="55">
        <v>100</v>
      </c>
      <c r="L526" s="54" t="str">
        <f>IF(Table13232[[#This Row],[Fin]]&lt;&gt;"1st","",Table13232[[#This Row],[Div]]*Table13232[[#This Row],[Lev Bet]])</f>
        <v/>
      </c>
      <c r="M526" s="54">
        <f>IF(Table13232[[#This Row],[Lev Ret]]="",Table13232[[#This Row],[Lev Bet]]*-1,L526-K526)</f>
        <v>-100</v>
      </c>
      <c r="N526" s="135">
        <v>150</v>
      </c>
      <c r="O526" s="135" t="str">
        <f>IF(Table13232[[#This Row],[Fin]]&lt;&gt;"1st","",Table13232[[#This Row],[Div]]*Table13232[[#This Row],[Nat and Combo Bet]])</f>
        <v/>
      </c>
      <c r="P526" s="135">
        <f>IF(Table13232[[#This Row],[Lev Ret]]="",Table13232[[#This Row],[Nat and Combo Bet]]*-1,O526-N526)</f>
        <v>-150</v>
      </c>
      <c r="Q526" s="50">
        <f t="shared" si="24"/>
        <v>2</v>
      </c>
      <c r="R526" s="50">
        <f>IF(AND(Q525=2,Q526=1),"",IF(Q526=2,(N526+N527)/2,IF(Table13232[[#This Row],[Dual Listing]]=1,Table13232[[#This Row],[Nat and Combo Bet]],11)))</f>
        <v>150</v>
      </c>
      <c r="S526" s="50" t="str">
        <f t="shared" si="25"/>
        <v/>
      </c>
      <c r="T526" s="50">
        <f t="shared" si="26"/>
        <v>-150</v>
      </c>
      <c r="U526" s="50" t="str">
        <f>IF(Table13232[[#This Row],[Date]]&lt;$U$4,"","Live")</f>
        <v>Live</v>
      </c>
      <c r="V526" s="45" t="str">
        <f>TEXT(Table13232[[#This Row],[Date]],"DDD")</f>
        <v>Sat</v>
      </c>
      <c r="W526" s="45" t="str">
        <f>PROPER(TRIM(Table13232[[#This Row],[Horse]]))</f>
        <v>Makdane</v>
      </c>
    </row>
    <row r="527" spans="1:23" x14ac:dyDescent="0.25">
      <c r="A527" s="109">
        <v>45927</v>
      </c>
      <c r="B527" s="53">
        <v>0.53125</v>
      </c>
      <c r="C527" s="110" t="s">
        <v>15</v>
      </c>
      <c r="D527" s="111">
        <v>2</v>
      </c>
      <c r="E527" s="111">
        <v>8</v>
      </c>
      <c r="F527" s="112" t="s">
        <v>255</v>
      </c>
      <c r="G527" s="112" t="s">
        <v>22</v>
      </c>
      <c r="H527" s="113"/>
      <c r="I527" s="113" t="s">
        <v>298</v>
      </c>
      <c r="J527" s="45" t="str">
        <f>VLOOKUP(Table13232[[#This Row],[Track]],$C$836:$E$882,2,FALSE)</f>
        <v>Vic</v>
      </c>
      <c r="K527" s="55">
        <v>100</v>
      </c>
      <c r="L527" s="54" t="str">
        <f>IF(Table13232[[#This Row],[Fin]]&lt;&gt;"1st","",Table13232[[#This Row],[Div]]*Table13232[[#This Row],[Lev Bet]])</f>
        <v/>
      </c>
      <c r="M527" s="54">
        <f>IF(Table13232[[#This Row],[Lev Ret]]="",Table13232[[#This Row],[Lev Bet]]*-1,L527-K527)</f>
        <v>-100</v>
      </c>
      <c r="N527" s="135">
        <v>150</v>
      </c>
      <c r="O527" s="135" t="str">
        <f>IF(Table13232[[#This Row],[Fin]]&lt;&gt;"1st","",Table13232[[#This Row],[Div]]*Table13232[[#This Row],[Nat and Combo Bet]])</f>
        <v/>
      </c>
      <c r="P527" s="135">
        <f>IF(Table13232[[#This Row],[Lev Ret]]="",Table13232[[#This Row],[Nat and Combo Bet]]*-1,O527-N527)</f>
        <v>-150</v>
      </c>
      <c r="Q527" s="50">
        <f t="shared" si="24"/>
        <v>1</v>
      </c>
      <c r="R527" s="50" t="str">
        <f>IF(AND(Q526=2,Q527=1),"",IF(Q527=2,(N527+N528)/2,IF(Table13232[[#This Row],[Dual Listing]]=1,Table13232[[#This Row],[Nat and Combo Bet]],11)))</f>
        <v/>
      </c>
      <c r="S527" s="50" t="str">
        <f t="shared" si="25"/>
        <v/>
      </c>
      <c r="T527" s="50" t="str">
        <f t="shared" si="26"/>
        <v/>
      </c>
      <c r="U527" s="50" t="str">
        <f>IF(Table13232[[#This Row],[Date]]&lt;$U$4,"","Live")</f>
        <v>Live</v>
      </c>
      <c r="V527" s="45" t="str">
        <f>TEXT(Table13232[[#This Row],[Date]],"DDD")</f>
        <v>Sat</v>
      </c>
      <c r="W527" s="45" t="str">
        <f>PROPER(TRIM(Table13232[[#This Row],[Horse]]))</f>
        <v>Makdane</v>
      </c>
    </row>
    <row r="528" spans="1:23" x14ac:dyDescent="0.25">
      <c r="A528" s="43">
        <v>45927</v>
      </c>
      <c r="B528" s="44">
        <v>0.54513888888888884</v>
      </c>
      <c r="C528" s="44" t="s">
        <v>11</v>
      </c>
      <c r="D528" s="45">
        <v>3</v>
      </c>
      <c r="E528" s="45">
        <v>7</v>
      </c>
      <c r="F528" s="46" t="s">
        <v>256</v>
      </c>
      <c r="G528" s="46" t="s">
        <v>23</v>
      </c>
      <c r="H528" s="47"/>
      <c r="I528" s="47" t="s">
        <v>298</v>
      </c>
      <c r="J528" s="45" t="str">
        <f>VLOOKUP(Table13232[[#This Row],[Track]],$C$836:$E$882,2,FALSE)</f>
        <v>NSW</v>
      </c>
      <c r="K528" s="49">
        <v>100</v>
      </c>
      <c r="L528" s="45" t="str">
        <f>IF(Table13232[[#This Row],[Fin]]&lt;&gt;"1st","",Table13232[[#This Row],[Div]]*Table13232[[#This Row],[Lev Bet]])</f>
        <v/>
      </c>
      <c r="M528" s="45">
        <f>IF(Table13232[[#This Row],[Lev Ret]]="",Table13232[[#This Row],[Lev Bet]]*-1,L528-K528)</f>
        <v>-100</v>
      </c>
      <c r="N528" s="135">
        <v>150</v>
      </c>
      <c r="O528" s="135" t="str">
        <f>IF(Table13232[[#This Row],[Fin]]&lt;&gt;"1st","",Table13232[[#This Row],[Div]]*Table13232[[#This Row],[Nat and Combo Bet]])</f>
        <v/>
      </c>
      <c r="P528" s="135">
        <f>IF(Table13232[[#This Row],[Lev Ret]]="",Table13232[[#This Row],[Nat and Combo Bet]]*-1,O528-N528)</f>
        <v>-150</v>
      </c>
      <c r="Q528" s="50">
        <f t="shared" si="24"/>
        <v>1</v>
      </c>
      <c r="R528" s="50">
        <f>IF(AND(Q527=2,Q528=1),"",IF(Q528=2,(N528+N529)/2,IF(Table13232[[#This Row],[Dual Listing]]=1,Table13232[[#This Row],[Nat and Combo Bet]],11)))</f>
        <v>150</v>
      </c>
      <c r="S528" s="50" t="str">
        <f t="shared" si="25"/>
        <v/>
      </c>
      <c r="T528" s="50">
        <f t="shared" si="26"/>
        <v>-150</v>
      </c>
      <c r="U528" s="50" t="str">
        <f>IF(Table13232[[#This Row],[Date]]&lt;$U$4,"","Live")</f>
        <v>Live</v>
      </c>
      <c r="V528" s="45" t="str">
        <f>TEXT(Table13232[[#This Row],[Date]],"DDD")</f>
        <v>Sat</v>
      </c>
      <c r="W528" s="45" t="str">
        <f>PROPER(TRIM(Table13232[[#This Row],[Horse]]))</f>
        <v>Juja Kibo</v>
      </c>
    </row>
    <row r="529" spans="1:23" x14ac:dyDescent="0.25">
      <c r="A529" s="43">
        <v>45927</v>
      </c>
      <c r="B529" s="44">
        <v>0.54513888888888884</v>
      </c>
      <c r="C529" s="44" t="s">
        <v>11</v>
      </c>
      <c r="D529" s="45">
        <v>3</v>
      </c>
      <c r="E529" s="45">
        <v>8</v>
      </c>
      <c r="F529" s="46" t="s">
        <v>233</v>
      </c>
      <c r="G529" s="46" t="s">
        <v>21</v>
      </c>
      <c r="H529" s="47">
        <v>6</v>
      </c>
      <c r="I529" s="52" t="s">
        <v>297</v>
      </c>
      <c r="J529" s="45" t="str">
        <f>VLOOKUP(Table13232[[#This Row],[Track]],$C$836:$E$882,2,FALSE)</f>
        <v>NSW</v>
      </c>
      <c r="K529" s="49">
        <v>100</v>
      </c>
      <c r="L529" s="45">
        <f>IF(Table13232[[#This Row],[Fin]]&lt;&gt;"1st","",Table13232[[#This Row],[Div]]*Table13232[[#This Row],[Lev Bet]])</f>
        <v>600</v>
      </c>
      <c r="M529" s="45">
        <f>IF(Table13232[[#This Row],[Lev Ret]]="",Table13232[[#This Row],[Lev Bet]]*-1,L529-K529)</f>
        <v>500</v>
      </c>
      <c r="N529" s="135">
        <v>150</v>
      </c>
      <c r="O529" s="135">
        <f>IF(Table13232[[#This Row],[Fin]]&lt;&gt;"1st","",Table13232[[#This Row],[Div]]*Table13232[[#This Row],[Nat and Combo Bet]])</f>
        <v>900</v>
      </c>
      <c r="P529" s="135">
        <f>IF(Table13232[[#This Row],[Lev Ret]]="",Table13232[[#This Row],[Nat and Combo Bet]]*-1,O529-N529)</f>
        <v>750</v>
      </c>
      <c r="Q529" s="50">
        <f t="shared" si="24"/>
        <v>1</v>
      </c>
      <c r="R529" s="50">
        <f>IF(AND(Q528=2,Q529=1),"",IF(Q529=2,(N529+N530)/2,IF(Table13232[[#This Row],[Dual Listing]]=1,Table13232[[#This Row],[Nat and Combo Bet]],11)))</f>
        <v>150</v>
      </c>
      <c r="S529" s="50">
        <f t="shared" si="25"/>
        <v>900</v>
      </c>
      <c r="T529" s="50">
        <f t="shared" si="26"/>
        <v>750</v>
      </c>
      <c r="U529" s="50" t="str">
        <f>IF(Table13232[[#This Row],[Date]]&lt;$U$4,"","Live")</f>
        <v>Live</v>
      </c>
      <c r="V529" s="45" t="str">
        <f>TEXT(Table13232[[#This Row],[Date]],"DDD")</f>
        <v>Sat</v>
      </c>
      <c r="W529" s="45" t="str">
        <f>PROPER(TRIM(Table13232[[#This Row],[Horse]]))</f>
        <v>Piggyback</v>
      </c>
    </row>
    <row r="530" spans="1:23" x14ac:dyDescent="0.25">
      <c r="A530" s="109">
        <v>45927</v>
      </c>
      <c r="B530" s="53">
        <v>0.57986111111111116</v>
      </c>
      <c r="C530" s="110" t="s">
        <v>15</v>
      </c>
      <c r="D530" s="111">
        <v>4</v>
      </c>
      <c r="E530" s="111">
        <v>1</v>
      </c>
      <c r="F530" s="112" t="s">
        <v>165</v>
      </c>
      <c r="G530" s="112" t="s">
        <v>21</v>
      </c>
      <c r="H530" s="113">
        <v>2.0499999999999998</v>
      </c>
      <c r="I530" s="114" t="s">
        <v>297</v>
      </c>
      <c r="J530" s="45" t="str">
        <f>VLOOKUP(Table13232[[#This Row],[Track]],$C$836:$E$882,2,FALSE)</f>
        <v>Vic</v>
      </c>
      <c r="K530" s="55">
        <v>100</v>
      </c>
      <c r="L530" s="54">
        <f>IF(Table13232[[#This Row],[Fin]]&lt;&gt;"1st","",Table13232[[#This Row],[Div]]*Table13232[[#This Row],[Lev Bet]])</f>
        <v>204.99999999999997</v>
      </c>
      <c r="M530" s="54">
        <f>IF(Table13232[[#This Row],[Lev Ret]]="",Table13232[[#This Row],[Lev Bet]]*-1,L530-K530)</f>
        <v>104.99999999999997</v>
      </c>
      <c r="N530" s="135">
        <v>200</v>
      </c>
      <c r="O530" s="135">
        <f>IF(Table13232[[#This Row],[Fin]]&lt;&gt;"1st","",Table13232[[#This Row],[Div]]*Table13232[[#This Row],[Nat and Combo Bet]])</f>
        <v>409.99999999999994</v>
      </c>
      <c r="P530" s="135">
        <f>IF(Table13232[[#This Row],[Lev Ret]]="",Table13232[[#This Row],[Nat and Combo Bet]]*-1,O530-N530)</f>
        <v>209.99999999999994</v>
      </c>
      <c r="Q530" s="50">
        <f t="shared" si="24"/>
        <v>2</v>
      </c>
      <c r="R530" s="50">
        <f>IF(AND(Q529=2,Q530=1),"",IF(Q530=2,(N530+N531)/2,IF(Table13232[[#This Row],[Dual Listing]]=1,Table13232[[#This Row],[Nat and Combo Bet]],11)))</f>
        <v>150</v>
      </c>
      <c r="S530" s="50">
        <f t="shared" si="25"/>
        <v>307.5</v>
      </c>
      <c r="T530" s="50">
        <f t="shared" si="26"/>
        <v>157.5</v>
      </c>
      <c r="U530" s="50" t="str">
        <f>IF(Table13232[[#This Row],[Date]]&lt;$U$4,"","Live")</f>
        <v>Live</v>
      </c>
      <c r="V530" s="45" t="str">
        <f>TEXT(Table13232[[#This Row],[Date]],"DDD")</f>
        <v>Sat</v>
      </c>
      <c r="W530" s="45" t="str">
        <f>PROPER(TRIM(Table13232[[#This Row],[Horse]]))</f>
        <v>King Zephyr</v>
      </c>
    </row>
    <row r="531" spans="1:23" x14ac:dyDescent="0.25">
      <c r="A531" s="109">
        <v>45927</v>
      </c>
      <c r="B531" s="53">
        <v>0.57986111111111116</v>
      </c>
      <c r="C531" s="110" t="s">
        <v>15</v>
      </c>
      <c r="D531" s="111">
        <v>4</v>
      </c>
      <c r="E531" s="111">
        <v>1</v>
      </c>
      <c r="F531" s="112" t="s">
        <v>165</v>
      </c>
      <c r="G531" s="112" t="s">
        <v>21</v>
      </c>
      <c r="H531" s="113">
        <v>2.0499999999999998</v>
      </c>
      <c r="I531" s="113" t="s">
        <v>298</v>
      </c>
      <c r="J531" s="45" t="str">
        <f>VLOOKUP(Table13232[[#This Row],[Track]],$C$836:$E$882,2,FALSE)</f>
        <v>Vic</v>
      </c>
      <c r="K531" s="55">
        <v>100</v>
      </c>
      <c r="L531" s="54">
        <f>IF(Table13232[[#This Row],[Fin]]&lt;&gt;"1st","",Table13232[[#This Row],[Div]]*Table13232[[#This Row],[Lev Bet]])</f>
        <v>204.99999999999997</v>
      </c>
      <c r="M531" s="54">
        <f>IF(Table13232[[#This Row],[Lev Ret]]="",Table13232[[#This Row],[Lev Bet]]*-1,L531-K531)</f>
        <v>104.99999999999997</v>
      </c>
      <c r="N531" s="135">
        <v>100</v>
      </c>
      <c r="O531" s="135">
        <f>IF(Table13232[[#This Row],[Fin]]&lt;&gt;"1st","",Table13232[[#This Row],[Div]]*Table13232[[#This Row],[Nat and Combo Bet]])</f>
        <v>204.99999999999997</v>
      </c>
      <c r="P531" s="135">
        <f>IF(Table13232[[#This Row],[Lev Ret]]="",Table13232[[#This Row],[Nat and Combo Bet]]*-1,O531-N531)</f>
        <v>104.99999999999997</v>
      </c>
      <c r="Q531" s="50">
        <f t="shared" si="24"/>
        <v>1</v>
      </c>
      <c r="R531" s="50" t="str">
        <f>IF(AND(Q530=2,Q531=1),"",IF(Q531=2,(N531+N532)/2,IF(Table13232[[#This Row],[Dual Listing]]=1,Table13232[[#This Row],[Nat and Combo Bet]],11)))</f>
        <v/>
      </c>
      <c r="S531" s="50" t="str">
        <f t="shared" si="25"/>
        <v/>
      </c>
      <c r="T531" s="50" t="str">
        <f t="shared" si="26"/>
        <v/>
      </c>
      <c r="U531" s="50" t="str">
        <f>IF(Table13232[[#This Row],[Date]]&lt;$U$4,"","Live")</f>
        <v>Live</v>
      </c>
      <c r="V531" s="45" t="str">
        <f>TEXT(Table13232[[#This Row],[Date]],"DDD")</f>
        <v>Sat</v>
      </c>
      <c r="W531" s="45" t="str">
        <f>PROPER(TRIM(Table13232[[#This Row],[Horse]]))</f>
        <v>King Zephyr</v>
      </c>
    </row>
    <row r="532" spans="1:23" x14ac:dyDescent="0.25">
      <c r="A532" s="43">
        <v>45927</v>
      </c>
      <c r="B532" s="44">
        <v>0.59375</v>
      </c>
      <c r="C532" s="44" t="s">
        <v>11</v>
      </c>
      <c r="D532" s="45">
        <v>5</v>
      </c>
      <c r="E532" s="45">
        <v>3</v>
      </c>
      <c r="F532" s="46" t="s">
        <v>291</v>
      </c>
      <c r="G532" s="46"/>
      <c r="H532" s="47"/>
      <c r="I532" s="52" t="s">
        <v>297</v>
      </c>
      <c r="J532" s="45" t="str">
        <f>VLOOKUP(Table13232[[#This Row],[Track]],$C$836:$E$882,2,FALSE)</f>
        <v>NSW</v>
      </c>
      <c r="K532" s="49">
        <v>100</v>
      </c>
      <c r="L532" s="45" t="str">
        <f>IF(Table13232[[#This Row],[Fin]]&lt;&gt;"1st","",Table13232[[#This Row],[Div]]*Table13232[[#This Row],[Lev Bet]])</f>
        <v/>
      </c>
      <c r="M532" s="45">
        <f>IF(Table13232[[#This Row],[Lev Ret]]="",Table13232[[#This Row],[Lev Bet]]*-1,L532-K532)</f>
        <v>-100</v>
      </c>
      <c r="N532" s="135">
        <v>150</v>
      </c>
      <c r="O532" s="135" t="str">
        <f>IF(Table13232[[#This Row],[Fin]]&lt;&gt;"1st","",Table13232[[#This Row],[Div]]*Table13232[[#This Row],[Nat and Combo Bet]])</f>
        <v/>
      </c>
      <c r="P532" s="135">
        <f>IF(Table13232[[#This Row],[Lev Ret]]="",Table13232[[#This Row],[Nat and Combo Bet]]*-1,O532-N532)</f>
        <v>-150</v>
      </c>
      <c r="Q532" s="50">
        <f t="shared" si="24"/>
        <v>1</v>
      </c>
      <c r="R532" s="50">
        <f>IF(AND(Q531=2,Q532=1),"",IF(Q532=2,(N532+N533)/2,IF(Table13232[[#This Row],[Dual Listing]]=1,Table13232[[#This Row],[Nat and Combo Bet]],11)))</f>
        <v>150</v>
      </c>
      <c r="S532" s="50" t="str">
        <f t="shared" si="25"/>
        <v/>
      </c>
      <c r="T532" s="50">
        <f t="shared" si="26"/>
        <v>-150</v>
      </c>
      <c r="U532" s="50" t="str">
        <f>IF(Table13232[[#This Row],[Date]]&lt;$U$4,"","Live")</f>
        <v>Live</v>
      </c>
      <c r="V532" s="45" t="str">
        <f>TEXT(Table13232[[#This Row],[Date]],"DDD")</f>
        <v>Sat</v>
      </c>
      <c r="W532" s="45" t="str">
        <f>PROPER(TRIM(Table13232[[#This Row],[Horse]]))</f>
        <v>Lord Of Biscay</v>
      </c>
    </row>
    <row r="533" spans="1:23" x14ac:dyDescent="0.25">
      <c r="A533" s="43">
        <v>45927</v>
      </c>
      <c r="B533" s="44">
        <v>0.65625</v>
      </c>
      <c r="C533" s="44" t="s">
        <v>15</v>
      </c>
      <c r="D533" s="45">
        <v>7</v>
      </c>
      <c r="E533" s="45">
        <v>1</v>
      </c>
      <c r="F533" s="46" t="s">
        <v>292</v>
      </c>
      <c r="G533" s="46" t="s">
        <v>21</v>
      </c>
      <c r="H533" s="47">
        <v>3.9</v>
      </c>
      <c r="I533" s="52" t="s">
        <v>297</v>
      </c>
      <c r="J533" s="45" t="str">
        <f>VLOOKUP(Table13232[[#This Row],[Track]],$C$836:$E$882,2,FALSE)</f>
        <v>Vic</v>
      </c>
      <c r="K533" s="49">
        <v>100</v>
      </c>
      <c r="L533" s="45">
        <f>IF(Table13232[[#This Row],[Fin]]&lt;&gt;"1st","",Table13232[[#This Row],[Div]]*Table13232[[#This Row],[Lev Bet]])</f>
        <v>390</v>
      </c>
      <c r="M533" s="45">
        <f>IF(Table13232[[#This Row],[Lev Ret]]="",Table13232[[#This Row],[Lev Bet]]*-1,L533-K533)</f>
        <v>290</v>
      </c>
      <c r="N533" s="135">
        <v>160</v>
      </c>
      <c r="O533" s="135">
        <f>IF(Table13232[[#This Row],[Fin]]&lt;&gt;"1st","",Table13232[[#This Row],[Div]]*Table13232[[#This Row],[Nat and Combo Bet]])</f>
        <v>624</v>
      </c>
      <c r="P533" s="135">
        <f>IF(Table13232[[#This Row],[Lev Ret]]="",Table13232[[#This Row],[Nat and Combo Bet]]*-1,O533-N533)</f>
        <v>464</v>
      </c>
      <c r="Q533" s="50">
        <f t="shared" si="24"/>
        <v>1</v>
      </c>
      <c r="R533" s="50">
        <f>IF(AND(Q532=2,Q533=1),"",IF(Q533=2,(N533+N534)/2,IF(Table13232[[#This Row],[Dual Listing]]=1,Table13232[[#This Row],[Nat and Combo Bet]],11)))</f>
        <v>160</v>
      </c>
      <c r="S533" s="50">
        <f t="shared" si="25"/>
        <v>624</v>
      </c>
      <c r="T533" s="50">
        <f t="shared" si="26"/>
        <v>464</v>
      </c>
      <c r="U533" s="50" t="str">
        <f>IF(Table13232[[#This Row],[Date]]&lt;$U$4,"","Live")</f>
        <v>Live</v>
      </c>
      <c r="V533" s="45" t="str">
        <f>TEXT(Table13232[[#This Row],[Date]],"DDD")</f>
        <v>Sat</v>
      </c>
      <c r="W533" s="45" t="str">
        <f>PROPER(TRIM(Table13232[[#This Row],[Horse]]))</f>
        <v>Evaporate</v>
      </c>
    </row>
    <row r="534" spans="1:23" x14ac:dyDescent="0.25">
      <c r="A534" s="109">
        <v>45927</v>
      </c>
      <c r="B534" s="53">
        <v>0.65625</v>
      </c>
      <c r="C534" s="110" t="s">
        <v>15</v>
      </c>
      <c r="D534" s="111">
        <v>7</v>
      </c>
      <c r="E534" s="111">
        <v>3</v>
      </c>
      <c r="F534" s="112" t="s">
        <v>257</v>
      </c>
      <c r="G534" s="112" t="s">
        <v>23</v>
      </c>
      <c r="H534" s="113"/>
      <c r="I534" s="114" t="s">
        <v>297</v>
      </c>
      <c r="J534" s="45" t="str">
        <f>VLOOKUP(Table13232[[#This Row],[Track]],$C$836:$E$882,2,FALSE)</f>
        <v>Vic</v>
      </c>
      <c r="K534" s="55">
        <v>100</v>
      </c>
      <c r="L534" s="54" t="str">
        <f>IF(Table13232[[#This Row],[Fin]]&lt;&gt;"1st","",Table13232[[#This Row],[Div]]*Table13232[[#This Row],[Lev Bet]])</f>
        <v/>
      </c>
      <c r="M534" s="54">
        <f>IF(Table13232[[#This Row],[Lev Ret]]="",Table13232[[#This Row],[Lev Bet]]*-1,L534-K534)</f>
        <v>-100</v>
      </c>
      <c r="N534" s="135">
        <v>150</v>
      </c>
      <c r="O534" s="135" t="str">
        <f>IF(Table13232[[#This Row],[Fin]]&lt;&gt;"1st","",Table13232[[#This Row],[Div]]*Table13232[[#This Row],[Nat and Combo Bet]])</f>
        <v/>
      </c>
      <c r="P534" s="135">
        <f>IF(Table13232[[#This Row],[Lev Ret]]="",Table13232[[#This Row],[Nat and Combo Bet]]*-1,O534-N534)</f>
        <v>-150</v>
      </c>
      <c r="Q534" s="50">
        <f t="shared" si="24"/>
        <v>2</v>
      </c>
      <c r="R534" s="50">
        <f>IF(AND(Q533=2,Q534=1),"",IF(Q534=2,(N534+N535)/2,IF(Table13232[[#This Row],[Dual Listing]]=1,Table13232[[#This Row],[Nat and Combo Bet]],11)))</f>
        <v>150</v>
      </c>
      <c r="S534" s="50" t="str">
        <f t="shared" si="25"/>
        <v/>
      </c>
      <c r="T534" s="50">
        <f t="shared" si="26"/>
        <v>-150</v>
      </c>
      <c r="U534" s="50" t="str">
        <f>IF(Table13232[[#This Row],[Date]]&lt;$U$4,"","Live")</f>
        <v>Live</v>
      </c>
      <c r="V534" s="45" t="str">
        <f>TEXT(Table13232[[#This Row],[Date]],"DDD")</f>
        <v>Sat</v>
      </c>
      <c r="W534" s="45" t="str">
        <f>PROPER(TRIM(Table13232[[#This Row],[Horse]]))</f>
        <v>Transatlantic</v>
      </c>
    </row>
    <row r="535" spans="1:23" x14ac:dyDescent="0.25">
      <c r="A535" s="109">
        <v>45927</v>
      </c>
      <c r="B535" s="53">
        <v>0.65625</v>
      </c>
      <c r="C535" s="110" t="s">
        <v>15</v>
      </c>
      <c r="D535" s="111">
        <v>7</v>
      </c>
      <c r="E535" s="111">
        <v>3</v>
      </c>
      <c r="F535" s="112" t="s">
        <v>257</v>
      </c>
      <c r="G535" s="112" t="s">
        <v>23</v>
      </c>
      <c r="H535" s="113"/>
      <c r="I535" s="113" t="s">
        <v>298</v>
      </c>
      <c r="J535" s="45" t="str">
        <f>VLOOKUP(Table13232[[#This Row],[Track]],$C$836:$E$882,2,FALSE)</f>
        <v>Vic</v>
      </c>
      <c r="K535" s="55">
        <v>100</v>
      </c>
      <c r="L535" s="54" t="str">
        <f>IF(Table13232[[#This Row],[Fin]]&lt;&gt;"1st","",Table13232[[#This Row],[Div]]*Table13232[[#This Row],[Lev Bet]])</f>
        <v/>
      </c>
      <c r="M535" s="54">
        <f>IF(Table13232[[#This Row],[Lev Ret]]="",Table13232[[#This Row],[Lev Bet]]*-1,L535-K535)</f>
        <v>-100</v>
      </c>
      <c r="N535" s="135">
        <v>150</v>
      </c>
      <c r="O535" s="135" t="str">
        <f>IF(Table13232[[#This Row],[Fin]]&lt;&gt;"1st","",Table13232[[#This Row],[Div]]*Table13232[[#This Row],[Nat and Combo Bet]])</f>
        <v/>
      </c>
      <c r="P535" s="135">
        <f>IF(Table13232[[#This Row],[Lev Ret]]="",Table13232[[#This Row],[Nat and Combo Bet]]*-1,O535-N535)</f>
        <v>-150</v>
      </c>
      <c r="Q535" s="50">
        <f t="shared" si="24"/>
        <v>1</v>
      </c>
      <c r="R535" s="50" t="str">
        <f>IF(AND(Q534=2,Q535=1),"",IF(Q535=2,(N535+N536)/2,IF(Table13232[[#This Row],[Dual Listing]]=1,Table13232[[#This Row],[Nat and Combo Bet]],11)))</f>
        <v/>
      </c>
      <c r="S535" s="50" t="str">
        <f t="shared" si="25"/>
        <v/>
      </c>
      <c r="T535" s="50" t="str">
        <f t="shared" si="26"/>
        <v/>
      </c>
      <c r="U535" s="50" t="str">
        <f>IF(Table13232[[#This Row],[Date]]&lt;$U$4,"","Live")</f>
        <v>Live</v>
      </c>
      <c r="V535" s="45" t="str">
        <f>TEXT(Table13232[[#This Row],[Date]],"DDD")</f>
        <v>Sat</v>
      </c>
      <c r="W535" s="45" t="str">
        <f>PROPER(TRIM(Table13232[[#This Row],[Horse]]))</f>
        <v>Transatlantic</v>
      </c>
    </row>
    <row r="536" spans="1:23" x14ac:dyDescent="0.25">
      <c r="A536" s="43">
        <v>45927</v>
      </c>
      <c r="B536" s="44">
        <v>0.67013888888888884</v>
      </c>
      <c r="C536" s="44" t="s">
        <v>11</v>
      </c>
      <c r="D536" s="45">
        <v>8</v>
      </c>
      <c r="E536" s="45">
        <v>9</v>
      </c>
      <c r="F536" s="46" t="s">
        <v>258</v>
      </c>
      <c r="G536" s="46" t="s">
        <v>22</v>
      </c>
      <c r="H536" s="47"/>
      <c r="I536" s="47" t="s">
        <v>298</v>
      </c>
      <c r="J536" s="45" t="str">
        <f>VLOOKUP(Table13232[[#This Row],[Track]],$C$836:$E$882,2,FALSE)</f>
        <v>NSW</v>
      </c>
      <c r="K536" s="49">
        <v>100</v>
      </c>
      <c r="L536" s="45" t="str">
        <f>IF(Table13232[[#This Row],[Fin]]&lt;&gt;"1st","",Table13232[[#This Row],[Div]]*Table13232[[#This Row],[Lev Bet]])</f>
        <v/>
      </c>
      <c r="M536" s="45">
        <f>IF(Table13232[[#This Row],[Lev Ret]]="",Table13232[[#This Row],[Lev Bet]]*-1,L536-K536)</f>
        <v>-100</v>
      </c>
      <c r="N536" s="135">
        <v>150</v>
      </c>
      <c r="O536" s="135" t="str">
        <f>IF(Table13232[[#This Row],[Fin]]&lt;&gt;"1st","",Table13232[[#This Row],[Div]]*Table13232[[#This Row],[Nat and Combo Bet]])</f>
        <v/>
      </c>
      <c r="P536" s="135">
        <f>IF(Table13232[[#This Row],[Lev Ret]]="",Table13232[[#This Row],[Nat and Combo Bet]]*-1,O536-N536)</f>
        <v>-150</v>
      </c>
      <c r="Q536" s="50">
        <f t="shared" si="24"/>
        <v>1</v>
      </c>
      <c r="R536" s="50">
        <f>IF(AND(Q535=2,Q536=1),"",IF(Q536=2,(N536+N537)/2,IF(Table13232[[#This Row],[Dual Listing]]=1,Table13232[[#This Row],[Nat and Combo Bet]],11)))</f>
        <v>150</v>
      </c>
      <c r="S536" s="50" t="str">
        <f t="shared" si="25"/>
        <v/>
      </c>
      <c r="T536" s="50">
        <f t="shared" si="26"/>
        <v>-150</v>
      </c>
      <c r="U536" s="50" t="str">
        <f>IF(Table13232[[#This Row],[Date]]&lt;$U$4,"","Live")</f>
        <v>Live</v>
      </c>
      <c r="V536" s="45" t="str">
        <f>TEXT(Table13232[[#This Row],[Date]],"DDD")</f>
        <v>Sat</v>
      </c>
      <c r="W536" s="45" t="str">
        <f>PROPER(TRIM(Table13232[[#This Row],[Horse]]))</f>
        <v>Tempted</v>
      </c>
    </row>
    <row r="537" spans="1:23" x14ac:dyDescent="0.25">
      <c r="A537" s="109">
        <v>45927</v>
      </c>
      <c r="B537" s="53">
        <v>0.68402777777777779</v>
      </c>
      <c r="C537" s="110" t="s">
        <v>15</v>
      </c>
      <c r="D537" s="111">
        <v>8</v>
      </c>
      <c r="E537" s="111">
        <v>11</v>
      </c>
      <c r="F537" s="112" t="s">
        <v>223</v>
      </c>
      <c r="G537" s="112"/>
      <c r="H537" s="113"/>
      <c r="I537" s="114" t="s">
        <v>297</v>
      </c>
      <c r="J537" s="45" t="str">
        <f>VLOOKUP(Table13232[[#This Row],[Track]],$C$836:$E$882,2,FALSE)</f>
        <v>Vic</v>
      </c>
      <c r="K537" s="55">
        <v>100</v>
      </c>
      <c r="L537" s="54" t="str">
        <f>IF(Table13232[[#This Row],[Fin]]&lt;&gt;"1st","",Table13232[[#This Row],[Div]]*Table13232[[#This Row],[Lev Bet]])</f>
        <v/>
      </c>
      <c r="M537" s="54">
        <f>IF(Table13232[[#This Row],[Lev Ret]]="",Table13232[[#This Row],[Lev Bet]]*-1,L537-K537)</f>
        <v>-100</v>
      </c>
      <c r="N537" s="135">
        <v>200</v>
      </c>
      <c r="O537" s="135" t="str">
        <f>IF(Table13232[[#This Row],[Fin]]&lt;&gt;"1st","",Table13232[[#This Row],[Div]]*Table13232[[#This Row],[Nat and Combo Bet]])</f>
        <v/>
      </c>
      <c r="P537" s="135">
        <f>IF(Table13232[[#This Row],[Lev Ret]]="",Table13232[[#This Row],[Nat and Combo Bet]]*-1,O537-N537)</f>
        <v>-200</v>
      </c>
      <c r="Q537" s="50">
        <f t="shared" si="24"/>
        <v>2</v>
      </c>
      <c r="R537" s="50">
        <f>IF(AND(Q536=2,Q537=1),"",IF(Q537=2,(N537+N538)/2,IF(Table13232[[#This Row],[Dual Listing]]=1,Table13232[[#This Row],[Nat and Combo Bet]],11)))</f>
        <v>175</v>
      </c>
      <c r="S537" s="50" t="str">
        <f t="shared" si="25"/>
        <v/>
      </c>
      <c r="T537" s="50">
        <f t="shared" si="26"/>
        <v>-175</v>
      </c>
      <c r="U537" s="50" t="str">
        <f>IF(Table13232[[#This Row],[Date]]&lt;$U$4,"","Live")</f>
        <v>Live</v>
      </c>
      <c r="V537" s="45" t="str">
        <f>TEXT(Table13232[[#This Row],[Date]],"DDD")</f>
        <v>Sat</v>
      </c>
      <c r="W537" s="45" t="str">
        <f>PROPER(TRIM(Table13232[[#This Row],[Horse]]))</f>
        <v>Hard To Cross</v>
      </c>
    </row>
    <row r="538" spans="1:23" x14ac:dyDescent="0.25">
      <c r="A538" s="109">
        <v>45927</v>
      </c>
      <c r="B538" s="53">
        <v>0.68402777777777779</v>
      </c>
      <c r="C538" s="110" t="s">
        <v>15</v>
      </c>
      <c r="D538" s="111">
        <v>8</v>
      </c>
      <c r="E538" s="111">
        <v>11</v>
      </c>
      <c r="F538" s="112" t="s">
        <v>223</v>
      </c>
      <c r="G538" s="112"/>
      <c r="H538" s="113"/>
      <c r="I538" s="113" t="s">
        <v>298</v>
      </c>
      <c r="J538" s="45" t="str">
        <f>VLOOKUP(Table13232[[#This Row],[Track]],$C$836:$E$882,2,FALSE)</f>
        <v>Vic</v>
      </c>
      <c r="K538" s="55">
        <v>100</v>
      </c>
      <c r="L538" s="54" t="str">
        <f>IF(Table13232[[#This Row],[Fin]]&lt;&gt;"1st","",Table13232[[#This Row],[Div]]*Table13232[[#This Row],[Lev Bet]])</f>
        <v/>
      </c>
      <c r="M538" s="54">
        <f>IF(Table13232[[#This Row],[Lev Ret]]="",Table13232[[#This Row],[Lev Bet]]*-1,L538-K538)</f>
        <v>-100</v>
      </c>
      <c r="N538" s="135">
        <v>150</v>
      </c>
      <c r="O538" s="135" t="str">
        <f>IF(Table13232[[#This Row],[Fin]]&lt;&gt;"1st","",Table13232[[#This Row],[Div]]*Table13232[[#This Row],[Nat and Combo Bet]])</f>
        <v/>
      </c>
      <c r="P538" s="135">
        <f>IF(Table13232[[#This Row],[Lev Ret]]="",Table13232[[#This Row],[Nat and Combo Bet]]*-1,O538-N538)</f>
        <v>-150</v>
      </c>
      <c r="Q538" s="50">
        <f t="shared" si="24"/>
        <v>1</v>
      </c>
      <c r="R538" s="50" t="str">
        <f>IF(AND(Q537=2,Q538=1),"",IF(Q538=2,(N538+N539)/2,IF(Table13232[[#This Row],[Dual Listing]]=1,Table13232[[#This Row],[Nat and Combo Bet]],11)))</f>
        <v/>
      </c>
      <c r="S538" s="50" t="str">
        <f t="shared" si="25"/>
        <v/>
      </c>
      <c r="T538" s="50" t="str">
        <f t="shared" si="26"/>
        <v/>
      </c>
      <c r="U538" s="50" t="str">
        <f>IF(Table13232[[#This Row],[Date]]&lt;$U$4,"","Live")</f>
        <v>Live</v>
      </c>
      <c r="V538" s="45" t="str">
        <f>TEXT(Table13232[[#This Row],[Date]],"DDD")</f>
        <v>Sat</v>
      </c>
      <c r="W538" s="45" t="str">
        <f>PROPER(TRIM(Table13232[[#This Row],[Horse]]))</f>
        <v>Hard To Cross</v>
      </c>
    </row>
    <row r="539" spans="1:23" x14ac:dyDescent="0.25">
      <c r="A539" s="109">
        <v>45927</v>
      </c>
      <c r="B539" s="53">
        <v>0.72569444444444442</v>
      </c>
      <c r="C539" s="110" t="s">
        <v>11</v>
      </c>
      <c r="D539" s="111">
        <v>10</v>
      </c>
      <c r="E539" s="111">
        <v>14</v>
      </c>
      <c r="F539" s="112" t="s">
        <v>259</v>
      </c>
      <c r="G539" s="112"/>
      <c r="H539" s="113"/>
      <c r="I539" s="114" t="s">
        <v>297</v>
      </c>
      <c r="J539" s="45" t="str">
        <f>VLOOKUP(Table13232[[#This Row],[Track]],$C$836:$E$882,2,FALSE)</f>
        <v>NSW</v>
      </c>
      <c r="K539" s="55">
        <v>100</v>
      </c>
      <c r="L539" s="54" t="str">
        <f>IF(Table13232[[#This Row],[Fin]]&lt;&gt;"1st","",Table13232[[#This Row],[Div]]*Table13232[[#This Row],[Lev Bet]])</f>
        <v/>
      </c>
      <c r="M539" s="54">
        <f>IF(Table13232[[#This Row],[Lev Ret]]="",Table13232[[#This Row],[Lev Bet]]*-1,L539-K539)</f>
        <v>-100</v>
      </c>
      <c r="N539" s="135">
        <v>150</v>
      </c>
      <c r="O539" s="135" t="str">
        <f>IF(Table13232[[#This Row],[Fin]]&lt;&gt;"1st","",Table13232[[#This Row],[Div]]*Table13232[[#This Row],[Nat and Combo Bet]])</f>
        <v/>
      </c>
      <c r="P539" s="135">
        <f>IF(Table13232[[#This Row],[Lev Ret]]="",Table13232[[#This Row],[Nat and Combo Bet]]*-1,O539-N539)</f>
        <v>-150</v>
      </c>
      <c r="Q539" s="50">
        <f t="shared" si="24"/>
        <v>2</v>
      </c>
      <c r="R539" s="50">
        <f>IF(AND(Q538=2,Q539=1),"",IF(Q539=2,(N539+N540)/2,IF(Table13232[[#This Row],[Dual Listing]]=1,Table13232[[#This Row],[Nat and Combo Bet]],11)))</f>
        <v>150</v>
      </c>
      <c r="S539" s="50" t="str">
        <f t="shared" si="25"/>
        <v/>
      </c>
      <c r="T539" s="50">
        <f t="shared" si="26"/>
        <v>-150</v>
      </c>
      <c r="U539" s="50" t="str">
        <f>IF(Table13232[[#This Row],[Date]]&lt;$U$4,"","Live")</f>
        <v>Live</v>
      </c>
      <c r="V539" s="45" t="str">
        <f>TEXT(Table13232[[#This Row],[Date]],"DDD")</f>
        <v>Sat</v>
      </c>
      <c r="W539" s="45" t="str">
        <f>PROPER(TRIM(Table13232[[#This Row],[Horse]]))</f>
        <v>Chidiac</v>
      </c>
    </row>
    <row r="540" spans="1:23" x14ac:dyDescent="0.25">
      <c r="A540" s="109">
        <v>45927</v>
      </c>
      <c r="B540" s="53">
        <v>0.72569444444444442</v>
      </c>
      <c r="C540" s="110" t="s">
        <v>11</v>
      </c>
      <c r="D540" s="111">
        <v>10</v>
      </c>
      <c r="E540" s="111">
        <v>14</v>
      </c>
      <c r="F540" s="112" t="s">
        <v>259</v>
      </c>
      <c r="G540" s="112"/>
      <c r="H540" s="113"/>
      <c r="I540" s="113" t="s">
        <v>298</v>
      </c>
      <c r="J540" s="45" t="str">
        <f>VLOOKUP(Table13232[[#This Row],[Track]],$C$836:$E$882,2,FALSE)</f>
        <v>NSW</v>
      </c>
      <c r="K540" s="55">
        <v>100</v>
      </c>
      <c r="L540" s="54" t="str">
        <f>IF(Table13232[[#This Row],[Fin]]&lt;&gt;"1st","",Table13232[[#This Row],[Div]]*Table13232[[#This Row],[Lev Bet]])</f>
        <v/>
      </c>
      <c r="M540" s="54">
        <f>IF(Table13232[[#This Row],[Lev Ret]]="",Table13232[[#This Row],[Lev Bet]]*-1,L540-K540)</f>
        <v>-100</v>
      </c>
      <c r="N540" s="135">
        <v>150</v>
      </c>
      <c r="O540" s="135" t="str">
        <f>IF(Table13232[[#This Row],[Fin]]&lt;&gt;"1st","",Table13232[[#This Row],[Div]]*Table13232[[#This Row],[Nat and Combo Bet]])</f>
        <v/>
      </c>
      <c r="P540" s="135">
        <f>IF(Table13232[[#This Row],[Lev Ret]]="",Table13232[[#This Row],[Nat and Combo Bet]]*-1,O540-N540)</f>
        <v>-150</v>
      </c>
      <c r="Q540" s="50">
        <f t="shared" si="24"/>
        <v>1</v>
      </c>
      <c r="R540" s="50" t="str">
        <f>IF(AND(Q539=2,Q540=1),"",IF(Q540=2,(N540+N541)/2,IF(Table13232[[#This Row],[Dual Listing]]=1,Table13232[[#This Row],[Nat and Combo Bet]],11)))</f>
        <v/>
      </c>
      <c r="S540" s="50" t="str">
        <f t="shared" si="25"/>
        <v/>
      </c>
      <c r="T540" s="50" t="str">
        <f t="shared" si="26"/>
        <v/>
      </c>
      <c r="U540" s="50" t="str">
        <f>IF(Table13232[[#This Row],[Date]]&lt;$U$4,"","Live")</f>
        <v>Live</v>
      </c>
      <c r="V540" s="45" t="str">
        <f>TEXT(Table13232[[#This Row],[Date]],"DDD")</f>
        <v>Sat</v>
      </c>
      <c r="W540" s="45" t="str">
        <f>PROPER(TRIM(Table13232[[#This Row],[Horse]]))</f>
        <v>Chidiac</v>
      </c>
    </row>
    <row r="541" spans="1:23" x14ac:dyDescent="0.25">
      <c r="A541" s="43">
        <v>45934</v>
      </c>
      <c r="B541" s="44">
        <v>0.50902777777777775</v>
      </c>
      <c r="C541" s="44" t="s">
        <v>9</v>
      </c>
      <c r="D541" s="45">
        <v>1</v>
      </c>
      <c r="E541" s="45">
        <v>6</v>
      </c>
      <c r="F541" s="46" t="s">
        <v>260</v>
      </c>
      <c r="G541" s="46" t="s">
        <v>21</v>
      </c>
      <c r="H541" s="47">
        <v>2.15</v>
      </c>
      <c r="I541" s="47" t="s">
        <v>298</v>
      </c>
      <c r="J541" s="45" t="str">
        <f>VLOOKUP(Table13232[[#This Row],[Track]],$C$836:$E$882,2,FALSE)</f>
        <v>Qld</v>
      </c>
      <c r="K541" s="49">
        <v>100</v>
      </c>
      <c r="L541" s="45">
        <f>IF(Table13232[[#This Row],[Fin]]&lt;&gt;"1st","",Table13232[[#This Row],[Div]]*Table13232[[#This Row],[Lev Bet]])</f>
        <v>215</v>
      </c>
      <c r="M541" s="45">
        <f>IF(Table13232[[#This Row],[Lev Ret]]="",Table13232[[#This Row],[Lev Bet]]*-1,L541-K541)</f>
        <v>115</v>
      </c>
      <c r="N541" s="135">
        <v>100</v>
      </c>
      <c r="O541" s="135">
        <f>IF(Table13232[[#This Row],[Fin]]&lt;&gt;"1st","",Table13232[[#This Row],[Div]]*Table13232[[#This Row],[Nat and Combo Bet]])</f>
        <v>215</v>
      </c>
      <c r="P541" s="135">
        <f>IF(Table13232[[#This Row],[Lev Ret]]="",Table13232[[#This Row],[Nat and Combo Bet]]*-1,O541-N541)</f>
        <v>115</v>
      </c>
      <c r="Q541" s="50">
        <f t="shared" si="24"/>
        <v>1</v>
      </c>
      <c r="R541" s="50">
        <f>IF(AND(Q540=2,Q541=1),"",IF(Q541=2,(N541+N542)/2,IF(Table13232[[#This Row],[Dual Listing]]=1,Table13232[[#This Row],[Nat and Combo Bet]],11)))</f>
        <v>100</v>
      </c>
      <c r="S541" s="50">
        <f t="shared" si="25"/>
        <v>215</v>
      </c>
      <c r="T541" s="50">
        <f t="shared" si="26"/>
        <v>115</v>
      </c>
      <c r="U541" s="50" t="str">
        <f>IF(Table13232[[#This Row],[Date]]&lt;$U$4,"","Live")</f>
        <v>Live</v>
      </c>
      <c r="V541" s="45" t="str">
        <f>TEXT(Table13232[[#This Row],[Date]],"DDD")</f>
        <v>Sat</v>
      </c>
      <c r="W541" s="45" t="str">
        <f>PROPER(TRIM(Table13232[[#This Row],[Horse]]))</f>
        <v>So You Are</v>
      </c>
    </row>
    <row r="542" spans="1:23" x14ac:dyDescent="0.25">
      <c r="A542" s="43">
        <v>45934</v>
      </c>
      <c r="B542" s="44">
        <v>0.53333333333333333</v>
      </c>
      <c r="C542" s="44" t="s">
        <v>9</v>
      </c>
      <c r="D542" s="45">
        <v>2</v>
      </c>
      <c r="E542" s="45">
        <v>6</v>
      </c>
      <c r="F542" s="46" t="s">
        <v>125</v>
      </c>
      <c r="G542" s="46" t="s">
        <v>22</v>
      </c>
      <c r="H542" s="47"/>
      <c r="I542" s="47" t="s">
        <v>298</v>
      </c>
      <c r="J542" s="45" t="str">
        <f>VLOOKUP(Table13232[[#This Row],[Track]],$C$836:$E$882,2,FALSE)</f>
        <v>Qld</v>
      </c>
      <c r="K542" s="49">
        <v>100</v>
      </c>
      <c r="L542" s="45" t="str">
        <f>IF(Table13232[[#This Row],[Fin]]&lt;&gt;"1st","",Table13232[[#This Row],[Div]]*Table13232[[#This Row],[Lev Bet]])</f>
        <v/>
      </c>
      <c r="M542" s="45">
        <f>IF(Table13232[[#This Row],[Lev Ret]]="",Table13232[[#This Row],[Lev Bet]]*-1,L542-K542)</f>
        <v>-100</v>
      </c>
      <c r="N542" s="135">
        <v>100</v>
      </c>
      <c r="O542" s="135" t="str">
        <f>IF(Table13232[[#This Row],[Fin]]&lt;&gt;"1st","",Table13232[[#This Row],[Div]]*Table13232[[#This Row],[Nat and Combo Bet]])</f>
        <v/>
      </c>
      <c r="P542" s="135">
        <f>IF(Table13232[[#This Row],[Lev Ret]]="",Table13232[[#This Row],[Nat and Combo Bet]]*-1,O542-N542)</f>
        <v>-100</v>
      </c>
      <c r="Q542" s="50">
        <f t="shared" si="24"/>
        <v>1</v>
      </c>
      <c r="R542" s="50">
        <f>IF(AND(Q541=2,Q542=1),"",IF(Q542=2,(N542+N543)/2,IF(Table13232[[#This Row],[Dual Listing]]=1,Table13232[[#This Row],[Nat and Combo Bet]],11)))</f>
        <v>100</v>
      </c>
      <c r="S542" s="50" t="str">
        <f t="shared" si="25"/>
        <v/>
      </c>
      <c r="T542" s="50">
        <f t="shared" si="26"/>
        <v>-100</v>
      </c>
      <c r="U542" s="50" t="str">
        <f>IF(Table13232[[#This Row],[Date]]&lt;$U$4,"","Live")</f>
        <v>Live</v>
      </c>
      <c r="V542" s="45" t="str">
        <f>TEXT(Table13232[[#This Row],[Date]],"DDD")</f>
        <v>Sat</v>
      </c>
      <c r="W542" s="45" t="str">
        <f>PROPER(TRIM(Table13232[[#This Row],[Horse]]))</f>
        <v>Heyoka</v>
      </c>
    </row>
    <row r="543" spans="1:23" x14ac:dyDescent="0.25">
      <c r="A543" s="43">
        <v>45934</v>
      </c>
      <c r="B543" s="44">
        <v>0.55763888888888891</v>
      </c>
      <c r="C543" s="44" t="s">
        <v>9</v>
      </c>
      <c r="D543" s="45">
        <v>3</v>
      </c>
      <c r="E543" s="45">
        <v>3</v>
      </c>
      <c r="F543" s="46" t="s">
        <v>214</v>
      </c>
      <c r="G543" s="46"/>
      <c r="H543" s="47"/>
      <c r="I543" s="47" t="s">
        <v>298</v>
      </c>
      <c r="J543" s="45" t="str">
        <f>VLOOKUP(Table13232[[#This Row],[Track]],$C$836:$E$882,2,FALSE)</f>
        <v>Qld</v>
      </c>
      <c r="K543" s="49">
        <v>100</v>
      </c>
      <c r="L543" s="45" t="str">
        <f>IF(Table13232[[#This Row],[Fin]]&lt;&gt;"1st","",Table13232[[#This Row],[Div]]*Table13232[[#This Row],[Lev Bet]])</f>
        <v/>
      </c>
      <c r="M543" s="45">
        <f>IF(Table13232[[#This Row],[Lev Ret]]="",Table13232[[#This Row],[Lev Bet]]*-1,L543-K543)</f>
        <v>-100</v>
      </c>
      <c r="N543" s="135">
        <v>100</v>
      </c>
      <c r="O543" s="135" t="str">
        <f>IF(Table13232[[#This Row],[Fin]]&lt;&gt;"1st","",Table13232[[#This Row],[Div]]*Table13232[[#This Row],[Nat and Combo Bet]])</f>
        <v/>
      </c>
      <c r="P543" s="135">
        <f>IF(Table13232[[#This Row],[Lev Ret]]="",Table13232[[#This Row],[Nat and Combo Bet]]*-1,O543-N543)</f>
        <v>-100</v>
      </c>
      <c r="Q543" s="50">
        <f t="shared" si="24"/>
        <v>1</v>
      </c>
      <c r="R543" s="50">
        <f>IF(AND(Q542=2,Q543=1),"",IF(Q543=2,(N543+N544)/2,IF(Table13232[[#This Row],[Dual Listing]]=1,Table13232[[#This Row],[Nat and Combo Bet]],11)))</f>
        <v>100</v>
      </c>
      <c r="S543" s="50" t="str">
        <f t="shared" si="25"/>
        <v/>
      </c>
      <c r="T543" s="50">
        <f t="shared" si="26"/>
        <v>-100</v>
      </c>
      <c r="U543" s="50" t="str">
        <f>IF(Table13232[[#This Row],[Date]]&lt;$U$4,"","Live")</f>
        <v>Live</v>
      </c>
      <c r="V543" s="45" t="str">
        <f>TEXT(Table13232[[#This Row],[Date]],"DDD")</f>
        <v>Sat</v>
      </c>
      <c r="W543" s="45" t="str">
        <f>PROPER(TRIM(Table13232[[#This Row],[Horse]]))</f>
        <v>Bullion Boy</v>
      </c>
    </row>
    <row r="544" spans="1:23" x14ac:dyDescent="0.25">
      <c r="A544" s="43">
        <v>45934</v>
      </c>
      <c r="B544" s="44">
        <v>0.57638888888888884</v>
      </c>
      <c r="C544" s="44" t="s">
        <v>13</v>
      </c>
      <c r="D544" s="45">
        <v>4</v>
      </c>
      <c r="E544" s="45">
        <v>6</v>
      </c>
      <c r="F544" s="46" t="s">
        <v>261</v>
      </c>
      <c r="G544" s="46" t="s">
        <v>23</v>
      </c>
      <c r="H544" s="47"/>
      <c r="I544" s="47" t="s">
        <v>298</v>
      </c>
      <c r="J544" s="45" t="str">
        <f>VLOOKUP(Table13232[[#This Row],[Track]],$C$836:$E$882,2,FALSE)</f>
        <v>NSW</v>
      </c>
      <c r="K544" s="49">
        <v>100</v>
      </c>
      <c r="L544" s="45" t="str">
        <f>IF(Table13232[[#This Row],[Fin]]&lt;&gt;"1st","",Table13232[[#This Row],[Div]]*Table13232[[#This Row],[Lev Bet]])</f>
        <v/>
      </c>
      <c r="M544" s="45">
        <f>IF(Table13232[[#This Row],[Lev Ret]]="",Table13232[[#This Row],[Lev Bet]]*-1,L544-K544)</f>
        <v>-100</v>
      </c>
      <c r="N544" s="135">
        <v>100</v>
      </c>
      <c r="O544" s="135" t="str">
        <f>IF(Table13232[[#This Row],[Fin]]&lt;&gt;"1st","",Table13232[[#This Row],[Div]]*Table13232[[#This Row],[Nat and Combo Bet]])</f>
        <v/>
      </c>
      <c r="P544" s="135">
        <f>IF(Table13232[[#This Row],[Lev Ret]]="",Table13232[[#This Row],[Nat and Combo Bet]]*-1,O544-N544)</f>
        <v>-100</v>
      </c>
      <c r="Q544" s="50">
        <f t="shared" si="24"/>
        <v>1</v>
      </c>
      <c r="R544" s="50">
        <f>IF(AND(Q543=2,Q544=1),"",IF(Q544=2,(N544+N545)/2,IF(Table13232[[#This Row],[Dual Listing]]=1,Table13232[[#This Row],[Nat and Combo Bet]],11)))</f>
        <v>100</v>
      </c>
      <c r="S544" s="50" t="str">
        <f t="shared" si="25"/>
        <v/>
      </c>
      <c r="T544" s="50">
        <f t="shared" si="26"/>
        <v>-100</v>
      </c>
      <c r="U544" s="50" t="str">
        <f>IF(Table13232[[#This Row],[Date]]&lt;$U$4,"","Live")</f>
        <v>Live</v>
      </c>
      <c r="V544" s="45" t="str">
        <f>TEXT(Table13232[[#This Row],[Date]],"DDD")</f>
        <v>Sat</v>
      </c>
      <c r="W544" s="45" t="str">
        <f>PROPER(TRIM(Table13232[[#This Row],[Horse]]))</f>
        <v>Ruination</v>
      </c>
    </row>
    <row r="545" spans="1:23" x14ac:dyDescent="0.25">
      <c r="A545" s="43">
        <v>45934</v>
      </c>
      <c r="B545" s="44">
        <v>0.65486111111111112</v>
      </c>
      <c r="C545" s="44" t="s">
        <v>9</v>
      </c>
      <c r="D545" s="45">
        <v>7</v>
      </c>
      <c r="E545" s="45">
        <v>2</v>
      </c>
      <c r="F545" s="46" t="s">
        <v>262</v>
      </c>
      <c r="G545" s="46" t="s">
        <v>21</v>
      </c>
      <c r="H545" s="47">
        <v>6</v>
      </c>
      <c r="I545" s="47" t="s">
        <v>298</v>
      </c>
      <c r="J545" s="45" t="str">
        <f>VLOOKUP(Table13232[[#This Row],[Track]],$C$836:$E$882,2,FALSE)</f>
        <v>Qld</v>
      </c>
      <c r="K545" s="49">
        <v>100</v>
      </c>
      <c r="L545" s="45">
        <f>IF(Table13232[[#This Row],[Fin]]&lt;&gt;"1st","",Table13232[[#This Row],[Div]]*Table13232[[#This Row],[Lev Bet]])</f>
        <v>600</v>
      </c>
      <c r="M545" s="45">
        <f>IF(Table13232[[#This Row],[Lev Ret]]="",Table13232[[#This Row],[Lev Bet]]*-1,L545-K545)</f>
        <v>500</v>
      </c>
      <c r="N545" s="135">
        <v>100</v>
      </c>
      <c r="O545" s="135">
        <f>IF(Table13232[[#This Row],[Fin]]&lt;&gt;"1st","",Table13232[[#This Row],[Div]]*Table13232[[#This Row],[Nat and Combo Bet]])</f>
        <v>600</v>
      </c>
      <c r="P545" s="135">
        <f>IF(Table13232[[#This Row],[Lev Ret]]="",Table13232[[#This Row],[Nat and Combo Bet]]*-1,O545-N545)</f>
        <v>500</v>
      </c>
      <c r="Q545" s="50">
        <f t="shared" si="24"/>
        <v>1</v>
      </c>
      <c r="R545" s="50">
        <f>IF(AND(Q544=2,Q545=1),"",IF(Q545=2,(N545+N546)/2,IF(Table13232[[#This Row],[Dual Listing]]=1,Table13232[[#This Row],[Nat and Combo Bet]],11)))</f>
        <v>100</v>
      </c>
      <c r="S545" s="50">
        <f t="shared" si="25"/>
        <v>600</v>
      </c>
      <c r="T545" s="50">
        <f t="shared" si="26"/>
        <v>500</v>
      </c>
      <c r="U545" s="50" t="str">
        <f>IF(Table13232[[#This Row],[Date]]&lt;$U$4,"","Live")</f>
        <v>Live</v>
      </c>
      <c r="V545" s="45" t="str">
        <f>TEXT(Table13232[[#This Row],[Date]],"DDD")</f>
        <v>Sat</v>
      </c>
      <c r="W545" s="45" t="str">
        <f>PROPER(TRIM(Table13232[[#This Row],[Horse]]))</f>
        <v>Facundo</v>
      </c>
    </row>
    <row r="546" spans="1:23" x14ac:dyDescent="0.25">
      <c r="A546" s="43">
        <v>45934</v>
      </c>
      <c r="B546" s="44">
        <v>0.65972222222222221</v>
      </c>
      <c r="C546" s="44" t="s">
        <v>10</v>
      </c>
      <c r="D546" s="45">
        <v>7</v>
      </c>
      <c r="E546" s="45">
        <v>2</v>
      </c>
      <c r="F546" s="46" t="s">
        <v>92</v>
      </c>
      <c r="G546" s="46"/>
      <c r="H546" s="47"/>
      <c r="I546" s="52" t="s">
        <v>297</v>
      </c>
      <c r="J546" s="45" t="str">
        <f>VLOOKUP(Table13232[[#This Row],[Track]],$C$836:$E$882,2,FALSE)</f>
        <v>Vic</v>
      </c>
      <c r="K546" s="49">
        <v>100</v>
      </c>
      <c r="L546" s="45" t="str">
        <f>IF(Table13232[[#This Row],[Fin]]&lt;&gt;"1st","",Table13232[[#This Row],[Div]]*Table13232[[#This Row],[Lev Bet]])</f>
        <v/>
      </c>
      <c r="M546" s="45">
        <f>IF(Table13232[[#This Row],[Lev Ret]]="",Table13232[[#This Row],[Lev Bet]]*-1,L546-K546)</f>
        <v>-100</v>
      </c>
      <c r="N546" s="135">
        <v>100</v>
      </c>
      <c r="O546" s="135" t="str">
        <f>IF(Table13232[[#This Row],[Fin]]&lt;&gt;"1st","",Table13232[[#This Row],[Div]]*Table13232[[#This Row],[Nat and Combo Bet]])</f>
        <v/>
      </c>
      <c r="P546" s="135">
        <f>IF(Table13232[[#This Row],[Lev Ret]]="",Table13232[[#This Row],[Nat and Combo Bet]]*-1,O546-N546)</f>
        <v>-100</v>
      </c>
      <c r="Q546" s="50">
        <f t="shared" si="24"/>
        <v>1</v>
      </c>
      <c r="R546" s="50">
        <f>IF(AND(Q545=2,Q546=1),"",IF(Q546=2,(N546+N547)/2,IF(Table13232[[#This Row],[Dual Listing]]=1,Table13232[[#This Row],[Nat and Combo Bet]],11)))</f>
        <v>100</v>
      </c>
      <c r="S546" s="50" t="str">
        <f t="shared" si="25"/>
        <v/>
      </c>
      <c r="T546" s="50">
        <f t="shared" si="26"/>
        <v>-100</v>
      </c>
      <c r="U546" s="50" t="str">
        <f>IF(Table13232[[#This Row],[Date]]&lt;$U$4,"","Live")</f>
        <v>Live</v>
      </c>
      <c r="V546" s="45" t="str">
        <f>TEXT(Table13232[[#This Row],[Date]],"DDD")</f>
        <v>Sat</v>
      </c>
      <c r="W546" s="45" t="str">
        <f>PROPER(TRIM(Table13232[[#This Row],[Horse]]))</f>
        <v>Revelare</v>
      </c>
    </row>
    <row r="547" spans="1:23" x14ac:dyDescent="0.25">
      <c r="A547" s="43">
        <v>45934</v>
      </c>
      <c r="B547" s="44">
        <v>0.6791666666666667</v>
      </c>
      <c r="C547" s="44" t="s">
        <v>9</v>
      </c>
      <c r="D547" s="45">
        <v>8</v>
      </c>
      <c r="E547" s="45">
        <v>8</v>
      </c>
      <c r="F547" s="46" t="s">
        <v>263</v>
      </c>
      <c r="G547" s="46" t="s">
        <v>22</v>
      </c>
      <c r="H547" s="47"/>
      <c r="I547" s="47" t="s">
        <v>298</v>
      </c>
      <c r="J547" s="45" t="str">
        <f>VLOOKUP(Table13232[[#This Row],[Track]],$C$836:$E$882,2,FALSE)</f>
        <v>Qld</v>
      </c>
      <c r="K547" s="49">
        <v>100</v>
      </c>
      <c r="L547" s="45" t="str">
        <f>IF(Table13232[[#This Row],[Fin]]&lt;&gt;"1st","",Table13232[[#This Row],[Div]]*Table13232[[#This Row],[Lev Bet]])</f>
        <v/>
      </c>
      <c r="M547" s="45">
        <f>IF(Table13232[[#This Row],[Lev Ret]]="",Table13232[[#This Row],[Lev Bet]]*-1,L547-K547)</f>
        <v>-100</v>
      </c>
      <c r="N547" s="135">
        <v>100</v>
      </c>
      <c r="O547" s="135" t="str">
        <f>IF(Table13232[[#This Row],[Fin]]&lt;&gt;"1st","",Table13232[[#This Row],[Div]]*Table13232[[#This Row],[Nat and Combo Bet]])</f>
        <v/>
      </c>
      <c r="P547" s="135">
        <f>IF(Table13232[[#This Row],[Lev Ret]]="",Table13232[[#This Row],[Nat and Combo Bet]]*-1,O547-N547)</f>
        <v>-100</v>
      </c>
      <c r="Q547" s="50">
        <f t="shared" si="24"/>
        <v>1</v>
      </c>
      <c r="R547" s="50">
        <f>IF(AND(Q546=2,Q547=1),"",IF(Q547=2,(N547+N548)/2,IF(Table13232[[#This Row],[Dual Listing]]=1,Table13232[[#This Row],[Nat and Combo Bet]],11)))</f>
        <v>100</v>
      </c>
      <c r="S547" s="50" t="str">
        <f t="shared" si="25"/>
        <v/>
      </c>
      <c r="T547" s="50">
        <f t="shared" si="26"/>
        <v>-100</v>
      </c>
      <c r="U547" s="50" t="str">
        <f>IF(Table13232[[#This Row],[Date]]&lt;$U$4,"","Live")</f>
        <v>Live</v>
      </c>
      <c r="V547" s="45" t="str">
        <f>TEXT(Table13232[[#This Row],[Date]],"DDD")</f>
        <v>Sat</v>
      </c>
      <c r="W547" s="45" t="str">
        <f>PROPER(TRIM(Table13232[[#This Row],[Horse]]))</f>
        <v>Star Ambition</v>
      </c>
    </row>
    <row r="548" spans="1:23" x14ac:dyDescent="0.25">
      <c r="A548" s="43">
        <v>45934</v>
      </c>
      <c r="B548" s="44">
        <v>0.68402777777777779</v>
      </c>
      <c r="C548" s="44" t="s">
        <v>10</v>
      </c>
      <c r="D548" s="45">
        <v>8</v>
      </c>
      <c r="E548" s="45">
        <v>6</v>
      </c>
      <c r="F548" s="46" t="s">
        <v>264</v>
      </c>
      <c r="G548" s="46"/>
      <c r="H548" s="47"/>
      <c r="I548" s="47" t="s">
        <v>298</v>
      </c>
      <c r="J548" s="45" t="str">
        <f>VLOOKUP(Table13232[[#This Row],[Track]],$C$836:$E$882,2,FALSE)</f>
        <v>Vic</v>
      </c>
      <c r="K548" s="49">
        <v>100</v>
      </c>
      <c r="L548" s="45" t="str">
        <f>IF(Table13232[[#This Row],[Fin]]&lt;&gt;"1st","",Table13232[[#This Row],[Div]]*Table13232[[#This Row],[Lev Bet]])</f>
        <v/>
      </c>
      <c r="M548" s="45">
        <f>IF(Table13232[[#This Row],[Lev Ret]]="",Table13232[[#This Row],[Lev Bet]]*-1,L548-K548)</f>
        <v>-100</v>
      </c>
      <c r="N548" s="135">
        <v>100</v>
      </c>
      <c r="O548" s="135" t="str">
        <f>IF(Table13232[[#This Row],[Fin]]&lt;&gt;"1st","",Table13232[[#This Row],[Div]]*Table13232[[#This Row],[Nat and Combo Bet]])</f>
        <v/>
      </c>
      <c r="P548" s="135">
        <f>IF(Table13232[[#This Row],[Lev Ret]]="",Table13232[[#This Row],[Nat and Combo Bet]]*-1,O548-N548)</f>
        <v>-100</v>
      </c>
      <c r="Q548" s="50">
        <f t="shared" si="24"/>
        <v>1</v>
      </c>
      <c r="R548" s="50">
        <f>IF(AND(Q547=2,Q548=1),"",IF(Q548=2,(N548+N549)/2,IF(Table13232[[#This Row],[Dual Listing]]=1,Table13232[[#This Row],[Nat and Combo Bet]],11)))</f>
        <v>100</v>
      </c>
      <c r="S548" s="50" t="str">
        <f t="shared" si="25"/>
        <v/>
      </c>
      <c r="T548" s="50">
        <f t="shared" si="26"/>
        <v>-100</v>
      </c>
      <c r="U548" s="50" t="str">
        <f>IF(Table13232[[#This Row],[Date]]&lt;$U$4,"","Live")</f>
        <v>Live</v>
      </c>
      <c r="V548" s="45" t="str">
        <f>TEXT(Table13232[[#This Row],[Date]],"DDD")</f>
        <v>Sat</v>
      </c>
      <c r="W548" s="45" t="str">
        <f>PROPER(TRIM(Table13232[[#This Row],[Horse]]))</f>
        <v>Half Yours</v>
      </c>
    </row>
    <row r="549" spans="1:23" x14ac:dyDescent="0.25">
      <c r="A549" s="43">
        <v>45934</v>
      </c>
      <c r="B549" s="44">
        <v>0.71180555555555558</v>
      </c>
      <c r="C549" s="44" t="s">
        <v>10</v>
      </c>
      <c r="D549" s="45">
        <v>9</v>
      </c>
      <c r="E549" s="45">
        <v>1</v>
      </c>
      <c r="F549" s="46" t="s">
        <v>154</v>
      </c>
      <c r="G549" s="46" t="s">
        <v>21</v>
      </c>
      <c r="H549" s="47">
        <v>3.3</v>
      </c>
      <c r="I549" s="47" t="s">
        <v>298</v>
      </c>
      <c r="J549" s="45" t="str">
        <f>VLOOKUP(Table13232[[#This Row],[Track]],$C$836:$E$882,2,FALSE)</f>
        <v>Vic</v>
      </c>
      <c r="K549" s="49">
        <v>100</v>
      </c>
      <c r="L549" s="45">
        <f>IF(Table13232[[#This Row],[Fin]]&lt;&gt;"1st","",Table13232[[#This Row],[Div]]*Table13232[[#This Row],[Lev Bet]])</f>
        <v>330</v>
      </c>
      <c r="M549" s="45">
        <f>IF(Table13232[[#This Row],[Lev Ret]]="",Table13232[[#This Row],[Lev Bet]]*-1,L549-K549)</f>
        <v>230</v>
      </c>
      <c r="N549" s="135">
        <v>100</v>
      </c>
      <c r="O549" s="135">
        <f>IF(Table13232[[#This Row],[Fin]]&lt;&gt;"1st","",Table13232[[#This Row],[Div]]*Table13232[[#This Row],[Nat and Combo Bet]])</f>
        <v>330</v>
      </c>
      <c r="P549" s="135">
        <f>IF(Table13232[[#This Row],[Lev Ret]]="",Table13232[[#This Row],[Nat and Combo Bet]]*-1,O549-N549)</f>
        <v>230</v>
      </c>
      <c r="Q549" s="50">
        <f t="shared" si="24"/>
        <v>1</v>
      </c>
      <c r="R549" s="50">
        <f>IF(AND(Q548=2,Q549=1),"",IF(Q549=2,(N549+N550)/2,IF(Table13232[[#This Row],[Dual Listing]]=1,Table13232[[#This Row],[Nat and Combo Bet]],11)))</f>
        <v>100</v>
      </c>
      <c r="S549" s="50">
        <f t="shared" si="25"/>
        <v>330</v>
      </c>
      <c r="T549" s="50">
        <f t="shared" si="26"/>
        <v>230</v>
      </c>
      <c r="U549" s="50" t="str">
        <f>IF(Table13232[[#This Row],[Date]]&lt;$U$4,"","Live")</f>
        <v>Live</v>
      </c>
      <c r="V549" s="45" t="str">
        <f>TEXT(Table13232[[#This Row],[Date]],"DDD")</f>
        <v>Sat</v>
      </c>
      <c r="W549" s="45" t="str">
        <f>PROPER(TRIM(Table13232[[#This Row],[Horse]]))</f>
        <v>War Machine</v>
      </c>
    </row>
    <row r="550" spans="1:23" x14ac:dyDescent="0.25">
      <c r="A550" s="43">
        <v>45934</v>
      </c>
      <c r="B550" s="44">
        <v>0.72569444444444442</v>
      </c>
      <c r="C550" s="44" t="s">
        <v>13</v>
      </c>
      <c r="D550" s="45">
        <v>10</v>
      </c>
      <c r="E550" s="45">
        <v>10</v>
      </c>
      <c r="F550" s="46" t="s">
        <v>183</v>
      </c>
      <c r="G550" s="46"/>
      <c r="H550" s="47"/>
      <c r="I550" s="52" t="s">
        <v>297</v>
      </c>
      <c r="J550" s="45" t="str">
        <f>VLOOKUP(Table13232[[#This Row],[Track]],$C$836:$E$882,2,FALSE)</f>
        <v>NSW</v>
      </c>
      <c r="K550" s="49">
        <v>100</v>
      </c>
      <c r="L550" s="45" t="str">
        <f>IF(Table13232[[#This Row],[Fin]]&lt;&gt;"1st","",Table13232[[#This Row],[Div]]*Table13232[[#This Row],[Lev Bet]])</f>
        <v/>
      </c>
      <c r="M550" s="45">
        <f>IF(Table13232[[#This Row],[Lev Ret]]="",Table13232[[#This Row],[Lev Bet]]*-1,L550-K550)</f>
        <v>-100</v>
      </c>
      <c r="N550" s="135">
        <v>100</v>
      </c>
      <c r="O550" s="135" t="str">
        <f>IF(Table13232[[#This Row],[Fin]]&lt;&gt;"1st","",Table13232[[#This Row],[Div]]*Table13232[[#This Row],[Nat and Combo Bet]])</f>
        <v/>
      </c>
      <c r="P550" s="135">
        <f>IF(Table13232[[#This Row],[Lev Ret]]="",Table13232[[#This Row],[Nat and Combo Bet]]*-1,O550-N550)</f>
        <v>-100</v>
      </c>
      <c r="Q550" s="50">
        <f t="shared" si="24"/>
        <v>1</v>
      </c>
      <c r="R550" s="50">
        <f>IF(AND(Q549=2,Q550=1),"",IF(Q550=2,(N550+N551)/2,IF(Table13232[[#This Row],[Dual Listing]]=1,Table13232[[#This Row],[Nat and Combo Bet]],11)))</f>
        <v>100</v>
      </c>
      <c r="S550" s="50" t="str">
        <f t="shared" si="25"/>
        <v/>
      </c>
      <c r="T550" s="50">
        <f t="shared" si="26"/>
        <v>-100</v>
      </c>
      <c r="U550" s="50" t="str">
        <f>IF(Table13232[[#This Row],[Date]]&lt;$U$4,"","Live")</f>
        <v>Live</v>
      </c>
      <c r="V550" s="45" t="str">
        <f>TEXT(Table13232[[#This Row],[Date]],"DDD")</f>
        <v>Sat</v>
      </c>
      <c r="W550" s="45" t="str">
        <f>PROPER(TRIM(Table13232[[#This Row],[Horse]]))</f>
        <v>Kerguelen</v>
      </c>
    </row>
    <row r="551" spans="1:23" x14ac:dyDescent="0.25">
      <c r="A551" s="43">
        <v>45934</v>
      </c>
      <c r="B551" s="44">
        <v>0.73611111111111116</v>
      </c>
      <c r="C551" s="44" t="s">
        <v>10</v>
      </c>
      <c r="D551" s="45">
        <v>10</v>
      </c>
      <c r="E551" s="45">
        <v>9</v>
      </c>
      <c r="F551" s="46" t="s">
        <v>244</v>
      </c>
      <c r="G551" s="46" t="s">
        <v>21</v>
      </c>
      <c r="H551" s="47">
        <v>3.4</v>
      </c>
      <c r="I551" s="52" t="s">
        <v>297</v>
      </c>
      <c r="J551" s="45" t="str">
        <f>VLOOKUP(Table13232[[#This Row],[Track]],$C$836:$E$882,2,FALSE)</f>
        <v>Vic</v>
      </c>
      <c r="K551" s="49">
        <v>100</v>
      </c>
      <c r="L551" s="45">
        <f>IF(Table13232[[#This Row],[Fin]]&lt;&gt;"1st","",Table13232[[#This Row],[Div]]*Table13232[[#This Row],[Lev Bet]])</f>
        <v>340</v>
      </c>
      <c r="M551" s="45">
        <f>IF(Table13232[[#This Row],[Lev Ret]]="",Table13232[[#This Row],[Lev Bet]]*-1,L551-K551)</f>
        <v>240</v>
      </c>
      <c r="N551" s="135">
        <v>100</v>
      </c>
      <c r="O551" s="135">
        <f>IF(Table13232[[#This Row],[Fin]]&lt;&gt;"1st","",Table13232[[#This Row],[Div]]*Table13232[[#This Row],[Nat and Combo Bet]])</f>
        <v>340</v>
      </c>
      <c r="P551" s="135">
        <f>IF(Table13232[[#This Row],[Lev Ret]]="",Table13232[[#This Row],[Nat and Combo Bet]]*-1,O551-N551)</f>
        <v>240</v>
      </c>
      <c r="Q551" s="50">
        <f t="shared" si="24"/>
        <v>1</v>
      </c>
      <c r="R551" s="50">
        <f>IF(AND(Q550=2,Q551=1),"",IF(Q551=2,(N551+N552)/2,IF(Table13232[[#This Row],[Dual Listing]]=1,Table13232[[#This Row],[Nat and Combo Bet]],11)))</f>
        <v>100</v>
      </c>
      <c r="S551" s="50">
        <f t="shared" si="25"/>
        <v>340</v>
      </c>
      <c r="T551" s="50">
        <f t="shared" si="26"/>
        <v>240</v>
      </c>
      <c r="U551" s="50" t="str">
        <f>IF(Table13232[[#This Row],[Date]]&lt;$U$4,"","Live")</f>
        <v>Live</v>
      </c>
      <c r="V551" s="45" t="str">
        <f>TEXT(Table13232[[#This Row],[Date]],"DDD")</f>
        <v>Sat</v>
      </c>
      <c r="W551" s="45" t="str">
        <f>PROPER(TRIM(Table13232[[#This Row],[Horse]]))</f>
        <v>Media World</v>
      </c>
    </row>
    <row r="552" spans="1:23" x14ac:dyDescent="0.25">
      <c r="A552" s="43">
        <v>45934</v>
      </c>
      <c r="B552" s="44">
        <v>0.73611111111111116</v>
      </c>
      <c r="C552" s="44" t="s">
        <v>10</v>
      </c>
      <c r="D552" s="45">
        <v>10</v>
      </c>
      <c r="E552" s="45">
        <v>7</v>
      </c>
      <c r="F552" s="46" t="s">
        <v>77</v>
      </c>
      <c r="G552" s="46"/>
      <c r="H552" s="47"/>
      <c r="I552" s="52" t="s">
        <v>297</v>
      </c>
      <c r="J552" s="45" t="str">
        <f>VLOOKUP(Table13232[[#This Row],[Track]],$C$836:$E$882,2,FALSE)</f>
        <v>Vic</v>
      </c>
      <c r="K552" s="49">
        <v>100</v>
      </c>
      <c r="L552" s="45" t="str">
        <f>IF(Table13232[[#This Row],[Fin]]&lt;&gt;"1st","",Table13232[[#This Row],[Div]]*Table13232[[#This Row],[Lev Bet]])</f>
        <v/>
      </c>
      <c r="M552" s="45">
        <f>IF(Table13232[[#This Row],[Lev Ret]]="",Table13232[[#This Row],[Lev Bet]]*-1,L552-K552)</f>
        <v>-100</v>
      </c>
      <c r="N552" s="135">
        <v>120</v>
      </c>
      <c r="O552" s="135" t="str">
        <f>IF(Table13232[[#This Row],[Fin]]&lt;&gt;"1st","",Table13232[[#This Row],[Div]]*Table13232[[#This Row],[Nat and Combo Bet]])</f>
        <v/>
      </c>
      <c r="P552" s="135">
        <f>IF(Table13232[[#This Row],[Lev Ret]]="",Table13232[[#This Row],[Nat and Combo Bet]]*-1,O552-N552)</f>
        <v>-120</v>
      </c>
      <c r="Q552" s="50">
        <f t="shared" si="24"/>
        <v>1</v>
      </c>
      <c r="R552" s="50">
        <f>IF(AND(Q551=2,Q552=1),"",IF(Q552=2,(N552+N553)/2,IF(Table13232[[#This Row],[Dual Listing]]=1,Table13232[[#This Row],[Nat and Combo Bet]],11)))</f>
        <v>120</v>
      </c>
      <c r="S552" s="50" t="str">
        <f t="shared" si="25"/>
        <v/>
      </c>
      <c r="T552" s="50">
        <f t="shared" si="26"/>
        <v>-120</v>
      </c>
      <c r="U552" s="50" t="str">
        <f>IF(Table13232[[#This Row],[Date]]&lt;$U$4,"","Live")</f>
        <v>Live</v>
      </c>
      <c r="V552" s="45" t="str">
        <f>TEXT(Table13232[[#This Row],[Date]],"DDD")</f>
        <v>Sat</v>
      </c>
      <c r="W552" s="45" t="str">
        <f>PROPER(TRIM(Table13232[[#This Row],[Horse]]))</f>
        <v>Warnie</v>
      </c>
    </row>
    <row r="553" spans="1:23" x14ac:dyDescent="0.25">
      <c r="A553" s="43">
        <v>45941</v>
      </c>
      <c r="B553" s="44">
        <v>0.55902777777777779</v>
      </c>
      <c r="C553" s="44" t="s">
        <v>34</v>
      </c>
      <c r="D553" s="45">
        <v>3</v>
      </c>
      <c r="E553" s="45">
        <v>8</v>
      </c>
      <c r="F553" s="46" t="s">
        <v>293</v>
      </c>
      <c r="G553" s="46" t="s">
        <v>21</v>
      </c>
      <c r="H553" s="47">
        <v>7.5</v>
      </c>
      <c r="I553" s="52" t="s">
        <v>297</v>
      </c>
      <c r="J553" s="45" t="str">
        <f>VLOOKUP(Table13232[[#This Row],[Track]],$C$836:$E$882,2,FALSE)</f>
        <v>Vic</v>
      </c>
      <c r="K553" s="49">
        <v>100</v>
      </c>
      <c r="L553" s="45">
        <f>IF(Table13232[[#This Row],[Fin]]&lt;&gt;"1st","",Table13232[[#This Row],[Div]]*Table13232[[#This Row],[Lev Bet]])</f>
        <v>750</v>
      </c>
      <c r="M553" s="45">
        <f>IF(Table13232[[#This Row],[Lev Ret]]="",Table13232[[#This Row],[Lev Bet]]*-1,L553-K553)</f>
        <v>650</v>
      </c>
      <c r="N553" s="135">
        <v>50</v>
      </c>
      <c r="O553" s="135">
        <f>IF(Table13232[[#This Row],[Fin]]&lt;&gt;"1st","",Table13232[[#This Row],[Div]]*Table13232[[#This Row],[Nat and Combo Bet]])</f>
        <v>375</v>
      </c>
      <c r="P553" s="135">
        <f>IF(Table13232[[#This Row],[Lev Ret]]="",Table13232[[#This Row],[Nat and Combo Bet]]*-1,O553-N553)</f>
        <v>325</v>
      </c>
      <c r="Q553" s="50">
        <f t="shared" si="24"/>
        <v>1</v>
      </c>
      <c r="R553" s="50">
        <f>IF(AND(Q552=2,Q553=1),"",IF(Q553=2,(N553+N554)/2,IF(Table13232[[#This Row],[Dual Listing]]=1,Table13232[[#This Row],[Nat and Combo Bet]],11)))</f>
        <v>50</v>
      </c>
      <c r="S553" s="50">
        <f t="shared" si="25"/>
        <v>375</v>
      </c>
      <c r="T553" s="50">
        <f t="shared" si="26"/>
        <v>325</v>
      </c>
      <c r="U553" s="50" t="str">
        <f>IF(Table13232[[#This Row],[Date]]&lt;$U$4,"","Live")</f>
        <v>Live</v>
      </c>
      <c r="V553" s="45" t="str">
        <f>TEXT(Table13232[[#This Row],[Date]],"DDD")</f>
        <v>Sat</v>
      </c>
      <c r="W553" s="45" t="str">
        <f>PROPER(TRIM(Table13232[[#This Row],[Horse]]))</f>
        <v>Brayden Star</v>
      </c>
    </row>
    <row r="554" spans="1:23" x14ac:dyDescent="0.25">
      <c r="A554" s="43">
        <v>45941</v>
      </c>
      <c r="B554" s="44">
        <v>0.57291666666666663</v>
      </c>
      <c r="C554" s="44" t="s">
        <v>11</v>
      </c>
      <c r="D554" s="45">
        <v>3</v>
      </c>
      <c r="E554" s="45">
        <v>9</v>
      </c>
      <c r="F554" s="46" t="s">
        <v>265</v>
      </c>
      <c r="G554" s="46"/>
      <c r="H554" s="47"/>
      <c r="I554" s="47" t="s">
        <v>298</v>
      </c>
      <c r="J554" s="45" t="str">
        <f>VLOOKUP(Table13232[[#This Row],[Track]],$C$836:$E$882,2,FALSE)</f>
        <v>NSW</v>
      </c>
      <c r="K554" s="49">
        <v>100</v>
      </c>
      <c r="L554" s="45" t="str">
        <f>IF(Table13232[[#This Row],[Fin]]&lt;&gt;"1st","",Table13232[[#This Row],[Div]]*Table13232[[#This Row],[Lev Bet]])</f>
        <v/>
      </c>
      <c r="M554" s="45">
        <f>IF(Table13232[[#This Row],[Lev Ret]]="",Table13232[[#This Row],[Lev Bet]]*-1,L554-K554)</f>
        <v>-100</v>
      </c>
      <c r="N554" s="135">
        <v>150</v>
      </c>
      <c r="O554" s="135" t="str">
        <f>IF(Table13232[[#This Row],[Fin]]&lt;&gt;"1st","",Table13232[[#This Row],[Div]]*Table13232[[#This Row],[Nat and Combo Bet]])</f>
        <v/>
      </c>
      <c r="P554" s="135">
        <f>IF(Table13232[[#This Row],[Lev Ret]]="",Table13232[[#This Row],[Nat and Combo Bet]]*-1,O554-N554)</f>
        <v>-150</v>
      </c>
      <c r="Q554" s="50">
        <f t="shared" si="24"/>
        <v>1</v>
      </c>
      <c r="R554" s="50">
        <f>IF(AND(Q553=2,Q554=1),"",IF(Q554=2,(N554+N555)/2,IF(Table13232[[#This Row],[Dual Listing]]=1,Table13232[[#This Row],[Nat and Combo Bet]],11)))</f>
        <v>150</v>
      </c>
      <c r="S554" s="50" t="str">
        <f t="shared" si="25"/>
        <v/>
      </c>
      <c r="T554" s="50">
        <f t="shared" si="26"/>
        <v>-150</v>
      </c>
      <c r="U554" s="50" t="str">
        <f>IF(Table13232[[#This Row],[Date]]&lt;$U$4,"","Live")</f>
        <v>Live</v>
      </c>
      <c r="V554" s="45" t="str">
        <f>TEXT(Table13232[[#This Row],[Date]],"DDD")</f>
        <v>Sat</v>
      </c>
      <c r="W554" s="45" t="str">
        <f>PROPER(TRIM(Table13232[[#This Row],[Horse]]))</f>
        <v>Agita</v>
      </c>
    </row>
    <row r="555" spans="1:23" x14ac:dyDescent="0.25">
      <c r="A555" s="43">
        <v>45941</v>
      </c>
      <c r="B555" s="44">
        <v>0.57847222222222228</v>
      </c>
      <c r="C555" s="44" t="s">
        <v>12</v>
      </c>
      <c r="D555" s="45">
        <v>3</v>
      </c>
      <c r="E555" s="45">
        <v>13</v>
      </c>
      <c r="F555" s="46" t="s">
        <v>266</v>
      </c>
      <c r="G555" s="46"/>
      <c r="H555" s="47"/>
      <c r="I555" s="47" t="s">
        <v>298</v>
      </c>
      <c r="J555" s="45" t="str">
        <f>VLOOKUP(Table13232[[#This Row],[Track]],$C$836:$E$882,2,FALSE)</f>
        <v>Qld</v>
      </c>
      <c r="K555" s="49">
        <v>100</v>
      </c>
      <c r="L555" s="45" t="str">
        <f>IF(Table13232[[#This Row],[Fin]]&lt;&gt;"1st","",Table13232[[#This Row],[Div]]*Table13232[[#This Row],[Lev Bet]])</f>
        <v/>
      </c>
      <c r="M555" s="45">
        <f>IF(Table13232[[#This Row],[Lev Ret]]="",Table13232[[#This Row],[Lev Bet]]*-1,L555-K555)</f>
        <v>-100</v>
      </c>
      <c r="N555" s="135">
        <v>100</v>
      </c>
      <c r="O555" s="135" t="str">
        <f>IF(Table13232[[#This Row],[Fin]]&lt;&gt;"1st","",Table13232[[#This Row],[Div]]*Table13232[[#This Row],[Nat and Combo Bet]])</f>
        <v/>
      </c>
      <c r="P555" s="135">
        <f>IF(Table13232[[#This Row],[Lev Ret]]="",Table13232[[#This Row],[Nat and Combo Bet]]*-1,O555-N555)</f>
        <v>-100</v>
      </c>
      <c r="Q555" s="50">
        <f t="shared" si="24"/>
        <v>1</v>
      </c>
      <c r="R555" s="50">
        <f>IF(AND(Q554=2,Q555=1),"",IF(Q555=2,(N555+N556)/2,IF(Table13232[[#This Row],[Dual Listing]]=1,Table13232[[#This Row],[Nat and Combo Bet]],11)))</f>
        <v>100</v>
      </c>
      <c r="S555" s="50" t="str">
        <f t="shared" si="25"/>
        <v/>
      </c>
      <c r="T555" s="50">
        <f t="shared" si="26"/>
        <v>-100</v>
      </c>
      <c r="U555" s="50" t="str">
        <f>IF(Table13232[[#This Row],[Date]]&lt;$U$4,"","Live")</f>
        <v>Live</v>
      </c>
      <c r="V555" s="45" t="str">
        <f>TEXT(Table13232[[#This Row],[Date]],"DDD")</f>
        <v>Sat</v>
      </c>
      <c r="W555" s="45" t="str">
        <f>PROPER(TRIM(Table13232[[#This Row],[Horse]]))</f>
        <v>Rock The Sunrise</v>
      </c>
    </row>
    <row r="556" spans="1:23" x14ac:dyDescent="0.25">
      <c r="A556" s="43">
        <v>45941</v>
      </c>
      <c r="B556" s="44">
        <v>0.58333333333333337</v>
      </c>
      <c r="C556" s="44" t="s">
        <v>34</v>
      </c>
      <c r="D556" s="45">
        <v>4</v>
      </c>
      <c r="E556" s="45">
        <v>2</v>
      </c>
      <c r="F556" s="46" t="s">
        <v>294</v>
      </c>
      <c r="G556" s="46" t="s">
        <v>23</v>
      </c>
      <c r="H556" s="47"/>
      <c r="I556" s="52" t="s">
        <v>297</v>
      </c>
      <c r="J556" s="45" t="str">
        <f>VLOOKUP(Table13232[[#This Row],[Track]],$C$836:$E$882,2,FALSE)</f>
        <v>Vic</v>
      </c>
      <c r="K556" s="49">
        <v>100</v>
      </c>
      <c r="L556" s="45" t="str">
        <f>IF(Table13232[[#This Row],[Fin]]&lt;&gt;"1st","",Table13232[[#This Row],[Div]]*Table13232[[#This Row],[Lev Bet]])</f>
        <v/>
      </c>
      <c r="M556" s="45">
        <f>IF(Table13232[[#This Row],[Lev Ret]]="",Table13232[[#This Row],[Lev Bet]]*-1,L556-K556)</f>
        <v>-100</v>
      </c>
      <c r="N556" s="135">
        <v>100</v>
      </c>
      <c r="O556" s="135" t="str">
        <f>IF(Table13232[[#This Row],[Fin]]&lt;&gt;"1st","",Table13232[[#This Row],[Div]]*Table13232[[#This Row],[Nat and Combo Bet]])</f>
        <v/>
      </c>
      <c r="P556" s="135">
        <f>IF(Table13232[[#This Row],[Lev Ret]]="",Table13232[[#This Row],[Nat and Combo Bet]]*-1,O556-N556)</f>
        <v>-100</v>
      </c>
      <c r="Q556" s="50">
        <f t="shared" si="24"/>
        <v>1</v>
      </c>
      <c r="R556" s="50">
        <f>IF(AND(Q555=2,Q556=1),"",IF(Q556=2,(N556+N557)/2,IF(Table13232[[#This Row],[Dual Listing]]=1,Table13232[[#This Row],[Nat and Combo Bet]],11)))</f>
        <v>100</v>
      </c>
      <c r="S556" s="50" t="str">
        <f t="shared" si="25"/>
        <v/>
      </c>
      <c r="T556" s="50">
        <f t="shared" si="26"/>
        <v>-100</v>
      </c>
      <c r="U556" s="50" t="str">
        <f>IF(Table13232[[#This Row],[Date]]&lt;$U$4,"","Live")</f>
        <v>Live</v>
      </c>
      <c r="V556" s="45" t="str">
        <f>TEXT(Table13232[[#This Row],[Date]],"DDD")</f>
        <v>Sat</v>
      </c>
      <c r="W556" s="45" t="str">
        <f>PROPER(TRIM(Table13232[[#This Row],[Horse]]))</f>
        <v>Jennilala</v>
      </c>
    </row>
    <row r="557" spans="1:23" x14ac:dyDescent="0.25">
      <c r="A557" s="109">
        <v>45941</v>
      </c>
      <c r="B557" s="53">
        <v>0.58333333333333337</v>
      </c>
      <c r="C557" s="110" t="s">
        <v>34</v>
      </c>
      <c r="D557" s="111">
        <v>4</v>
      </c>
      <c r="E557" s="111">
        <v>6</v>
      </c>
      <c r="F557" s="112" t="s">
        <v>267</v>
      </c>
      <c r="G557" s="112"/>
      <c r="H557" s="113"/>
      <c r="I557" s="114" t="s">
        <v>297</v>
      </c>
      <c r="J557" s="45" t="str">
        <f>VLOOKUP(Table13232[[#This Row],[Track]],$C$836:$E$882,2,FALSE)</f>
        <v>Vic</v>
      </c>
      <c r="K557" s="55">
        <v>100</v>
      </c>
      <c r="L557" s="54" t="str">
        <f>IF(Table13232[[#This Row],[Fin]]&lt;&gt;"1st","",Table13232[[#This Row],[Div]]*Table13232[[#This Row],[Lev Bet]])</f>
        <v/>
      </c>
      <c r="M557" s="54">
        <f>IF(Table13232[[#This Row],[Lev Ret]]="",Table13232[[#This Row],[Lev Bet]]*-1,L557-K557)</f>
        <v>-100</v>
      </c>
      <c r="N557" s="135">
        <v>120</v>
      </c>
      <c r="O557" s="135" t="str">
        <f>IF(Table13232[[#This Row],[Fin]]&lt;&gt;"1st","",Table13232[[#This Row],[Div]]*Table13232[[#This Row],[Nat and Combo Bet]])</f>
        <v/>
      </c>
      <c r="P557" s="135">
        <f>IF(Table13232[[#This Row],[Lev Ret]]="",Table13232[[#This Row],[Nat and Combo Bet]]*-1,O557-N557)</f>
        <v>-120</v>
      </c>
      <c r="Q557" s="50">
        <f t="shared" si="24"/>
        <v>2</v>
      </c>
      <c r="R557" s="50">
        <f>IF(AND(Q556=2,Q557=1),"",IF(Q557=2,(N557+N558)/2,IF(Table13232[[#This Row],[Dual Listing]]=1,Table13232[[#This Row],[Nat and Combo Bet]],11)))</f>
        <v>160</v>
      </c>
      <c r="S557" s="50" t="str">
        <f t="shared" si="25"/>
        <v/>
      </c>
      <c r="T557" s="50">
        <f t="shared" si="26"/>
        <v>-160</v>
      </c>
      <c r="U557" s="50" t="str">
        <f>IF(Table13232[[#This Row],[Date]]&lt;$U$4,"","Live")</f>
        <v>Live</v>
      </c>
      <c r="V557" s="45" t="str">
        <f>TEXT(Table13232[[#This Row],[Date]],"DDD")</f>
        <v>Sat</v>
      </c>
      <c r="W557" s="45" t="str">
        <f>PROPER(TRIM(Table13232[[#This Row],[Horse]]))</f>
        <v>Sea What I See</v>
      </c>
    </row>
    <row r="558" spans="1:23" x14ac:dyDescent="0.25">
      <c r="A558" s="109">
        <v>45941</v>
      </c>
      <c r="B558" s="53">
        <v>0.58333333333333337</v>
      </c>
      <c r="C558" s="110" t="s">
        <v>34</v>
      </c>
      <c r="D558" s="111">
        <v>4</v>
      </c>
      <c r="E558" s="111">
        <v>6</v>
      </c>
      <c r="F558" s="112" t="s">
        <v>267</v>
      </c>
      <c r="G558" s="112"/>
      <c r="H558" s="113"/>
      <c r="I558" s="113" t="s">
        <v>298</v>
      </c>
      <c r="J558" s="45" t="str">
        <f>VLOOKUP(Table13232[[#This Row],[Track]],$C$836:$E$882,2,FALSE)</f>
        <v>Vic</v>
      </c>
      <c r="K558" s="55">
        <v>100</v>
      </c>
      <c r="L558" s="54" t="str">
        <f>IF(Table13232[[#This Row],[Fin]]&lt;&gt;"1st","",Table13232[[#This Row],[Div]]*Table13232[[#This Row],[Lev Bet]])</f>
        <v/>
      </c>
      <c r="M558" s="54">
        <f>IF(Table13232[[#This Row],[Lev Ret]]="",Table13232[[#This Row],[Lev Bet]]*-1,L558-K558)</f>
        <v>-100</v>
      </c>
      <c r="N558" s="135">
        <v>200</v>
      </c>
      <c r="O558" s="135" t="str">
        <f>IF(Table13232[[#This Row],[Fin]]&lt;&gt;"1st","",Table13232[[#This Row],[Div]]*Table13232[[#This Row],[Nat and Combo Bet]])</f>
        <v/>
      </c>
      <c r="P558" s="135">
        <f>IF(Table13232[[#This Row],[Lev Ret]]="",Table13232[[#This Row],[Nat and Combo Bet]]*-1,O558-N558)</f>
        <v>-200</v>
      </c>
      <c r="Q558" s="50">
        <f t="shared" si="24"/>
        <v>1</v>
      </c>
      <c r="R558" s="50" t="str">
        <f>IF(AND(Q557=2,Q558=1),"",IF(Q558=2,(N558+N559)/2,IF(Table13232[[#This Row],[Dual Listing]]=1,Table13232[[#This Row],[Nat and Combo Bet]],11)))</f>
        <v/>
      </c>
      <c r="S558" s="50" t="str">
        <f t="shared" si="25"/>
        <v/>
      </c>
      <c r="T558" s="50" t="str">
        <f t="shared" si="26"/>
        <v/>
      </c>
      <c r="U558" s="50" t="str">
        <f>IF(Table13232[[#This Row],[Date]]&lt;$U$4,"","Live")</f>
        <v>Live</v>
      </c>
      <c r="V558" s="45" t="str">
        <f>TEXT(Table13232[[#This Row],[Date]],"DDD")</f>
        <v>Sat</v>
      </c>
      <c r="W558" s="45" t="str">
        <f>PROPER(TRIM(Table13232[[#This Row],[Horse]]))</f>
        <v>Sea What I See</v>
      </c>
    </row>
    <row r="559" spans="1:23" x14ac:dyDescent="0.25">
      <c r="A559" s="109">
        <v>45941</v>
      </c>
      <c r="B559" s="53">
        <v>0.60763888888888884</v>
      </c>
      <c r="C559" s="110" t="s">
        <v>34</v>
      </c>
      <c r="D559" s="111">
        <v>5</v>
      </c>
      <c r="E559" s="111">
        <v>8</v>
      </c>
      <c r="F559" s="112" t="s">
        <v>165</v>
      </c>
      <c r="G559" s="112" t="s">
        <v>23</v>
      </c>
      <c r="H559" s="113"/>
      <c r="I559" s="114" t="s">
        <v>297</v>
      </c>
      <c r="J559" s="45" t="str">
        <f>VLOOKUP(Table13232[[#This Row],[Track]],$C$836:$E$882,2,FALSE)</f>
        <v>Vic</v>
      </c>
      <c r="K559" s="55">
        <v>100</v>
      </c>
      <c r="L559" s="54" t="str">
        <f>IF(Table13232[[#This Row],[Fin]]&lt;&gt;"1st","",Table13232[[#This Row],[Div]]*Table13232[[#This Row],[Lev Bet]])</f>
        <v/>
      </c>
      <c r="M559" s="54">
        <f>IF(Table13232[[#This Row],[Lev Ret]]="",Table13232[[#This Row],[Lev Bet]]*-1,L559-K559)</f>
        <v>-100</v>
      </c>
      <c r="N559" s="135">
        <v>120</v>
      </c>
      <c r="O559" s="135" t="str">
        <f>IF(Table13232[[#This Row],[Fin]]&lt;&gt;"1st","",Table13232[[#This Row],[Div]]*Table13232[[#This Row],[Nat and Combo Bet]])</f>
        <v/>
      </c>
      <c r="P559" s="135">
        <f>IF(Table13232[[#This Row],[Lev Ret]]="",Table13232[[#This Row],[Nat and Combo Bet]]*-1,O559-N559)</f>
        <v>-120</v>
      </c>
      <c r="Q559" s="50">
        <f t="shared" si="24"/>
        <v>2</v>
      </c>
      <c r="R559" s="50">
        <f>IF(AND(Q558=2,Q559=1),"",IF(Q559=2,(N559+N560)/2,IF(Table13232[[#This Row],[Dual Listing]]=1,Table13232[[#This Row],[Nat and Combo Bet]],11)))</f>
        <v>160</v>
      </c>
      <c r="S559" s="50" t="str">
        <f t="shared" si="25"/>
        <v/>
      </c>
      <c r="T559" s="50">
        <f t="shared" si="26"/>
        <v>-160</v>
      </c>
      <c r="U559" s="50" t="str">
        <f>IF(Table13232[[#This Row],[Date]]&lt;$U$4,"","Live")</f>
        <v>Live</v>
      </c>
      <c r="V559" s="45" t="str">
        <f>TEXT(Table13232[[#This Row],[Date]],"DDD")</f>
        <v>Sat</v>
      </c>
      <c r="W559" s="45" t="str">
        <f>PROPER(TRIM(Table13232[[#This Row],[Horse]]))</f>
        <v>King Zephyr</v>
      </c>
    </row>
    <row r="560" spans="1:23" x14ac:dyDescent="0.25">
      <c r="A560" s="109">
        <v>45941</v>
      </c>
      <c r="B560" s="53">
        <v>0.60763888888888884</v>
      </c>
      <c r="C560" s="110" t="s">
        <v>34</v>
      </c>
      <c r="D560" s="111">
        <v>5</v>
      </c>
      <c r="E560" s="111">
        <v>8</v>
      </c>
      <c r="F560" s="112" t="s">
        <v>165</v>
      </c>
      <c r="G560" s="112" t="s">
        <v>23</v>
      </c>
      <c r="H560" s="113"/>
      <c r="I560" s="113" t="s">
        <v>298</v>
      </c>
      <c r="J560" s="45" t="str">
        <f>VLOOKUP(Table13232[[#This Row],[Track]],$C$836:$E$882,2,FALSE)</f>
        <v>Vic</v>
      </c>
      <c r="K560" s="55">
        <v>100</v>
      </c>
      <c r="L560" s="54" t="str">
        <f>IF(Table13232[[#This Row],[Fin]]&lt;&gt;"1st","",Table13232[[#This Row],[Div]]*Table13232[[#This Row],[Lev Bet]])</f>
        <v/>
      </c>
      <c r="M560" s="54">
        <f>IF(Table13232[[#This Row],[Lev Ret]]="",Table13232[[#This Row],[Lev Bet]]*-1,L560-K560)</f>
        <v>-100</v>
      </c>
      <c r="N560" s="135">
        <v>200</v>
      </c>
      <c r="O560" s="135" t="str">
        <f>IF(Table13232[[#This Row],[Fin]]&lt;&gt;"1st","",Table13232[[#This Row],[Div]]*Table13232[[#This Row],[Nat and Combo Bet]])</f>
        <v/>
      </c>
      <c r="P560" s="135">
        <f>IF(Table13232[[#This Row],[Lev Ret]]="",Table13232[[#This Row],[Nat and Combo Bet]]*-1,O560-N560)</f>
        <v>-200</v>
      </c>
      <c r="Q560" s="50">
        <f t="shared" si="24"/>
        <v>1</v>
      </c>
      <c r="R560" s="50" t="str">
        <f>IF(AND(Q559=2,Q560=1),"",IF(Q560=2,(N560+N561)/2,IF(Table13232[[#This Row],[Dual Listing]]=1,Table13232[[#This Row],[Nat and Combo Bet]],11)))</f>
        <v/>
      </c>
      <c r="S560" s="50" t="str">
        <f t="shared" si="25"/>
        <v/>
      </c>
      <c r="T560" s="50" t="str">
        <f t="shared" si="26"/>
        <v/>
      </c>
      <c r="U560" s="50" t="str">
        <f>IF(Table13232[[#This Row],[Date]]&lt;$U$4,"","Live")</f>
        <v>Live</v>
      </c>
      <c r="V560" s="45" t="str">
        <f>TEXT(Table13232[[#This Row],[Date]],"DDD")</f>
        <v>Sat</v>
      </c>
      <c r="W560" s="45" t="str">
        <f>PROPER(TRIM(Table13232[[#This Row],[Horse]]))</f>
        <v>King Zephyr</v>
      </c>
    </row>
    <row r="561" spans="1:23" x14ac:dyDescent="0.25">
      <c r="A561" s="43">
        <v>45941</v>
      </c>
      <c r="B561" s="44">
        <v>0.65486111111111112</v>
      </c>
      <c r="C561" s="44" t="s">
        <v>12</v>
      </c>
      <c r="D561" s="45">
        <v>6</v>
      </c>
      <c r="E561" s="45">
        <v>7</v>
      </c>
      <c r="F561" s="46" t="s">
        <v>268</v>
      </c>
      <c r="G561" s="46" t="s">
        <v>21</v>
      </c>
      <c r="H561" s="47">
        <v>4.8</v>
      </c>
      <c r="I561" s="47" t="s">
        <v>298</v>
      </c>
      <c r="J561" s="45" t="str">
        <f>VLOOKUP(Table13232[[#This Row],[Track]],$C$836:$E$882,2,FALSE)</f>
        <v>Qld</v>
      </c>
      <c r="K561" s="49">
        <v>100</v>
      </c>
      <c r="L561" s="45">
        <f>IF(Table13232[[#This Row],[Fin]]&lt;&gt;"1st","",Table13232[[#This Row],[Div]]*Table13232[[#This Row],[Lev Bet]])</f>
        <v>480</v>
      </c>
      <c r="M561" s="45">
        <f>IF(Table13232[[#This Row],[Lev Ret]]="",Table13232[[#This Row],[Lev Bet]]*-1,L561-K561)</f>
        <v>380</v>
      </c>
      <c r="N561" s="135">
        <v>100</v>
      </c>
      <c r="O561" s="135">
        <f>IF(Table13232[[#This Row],[Fin]]&lt;&gt;"1st","",Table13232[[#This Row],[Div]]*Table13232[[#This Row],[Nat and Combo Bet]])</f>
        <v>480</v>
      </c>
      <c r="P561" s="135">
        <f>IF(Table13232[[#This Row],[Lev Ret]]="",Table13232[[#This Row],[Nat and Combo Bet]]*-1,O561-N561)</f>
        <v>380</v>
      </c>
      <c r="Q561" s="50">
        <f t="shared" si="24"/>
        <v>1</v>
      </c>
      <c r="R561" s="50">
        <f>IF(AND(Q560=2,Q561=1),"",IF(Q561=2,(N561+N562)/2,IF(Table13232[[#This Row],[Dual Listing]]=1,Table13232[[#This Row],[Nat and Combo Bet]],11)))</f>
        <v>100</v>
      </c>
      <c r="S561" s="50">
        <f t="shared" si="25"/>
        <v>480</v>
      </c>
      <c r="T561" s="50">
        <f t="shared" si="26"/>
        <v>380</v>
      </c>
      <c r="U561" s="50" t="str">
        <f>IF(Table13232[[#This Row],[Date]]&lt;$U$4,"","Live")</f>
        <v>Live</v>
      </c>
      <c r="V561" s="45" t="str">
        <f>TEXT(Table13232[[#This Row],[Date]],"DDD")</f>
        <v>Sat</v>
      </c>
      <c r="W561" s="45" t="str">
        <f>PROPER(TRIM(Table13232[[#This Row],[Horse]]))</f>
        <v>Express Payment</v>
      </c>
    </row>
    <row r="562" spans="1:23" x14ac:dyDescent="0.25">
      <c r="A562" s="43">
        <v>45941</v>
      </c>
      <c r="B562" s="44">
        <v>0.65972222222222221</v>
      </c>
      <c r="C562" s="44" t="s">
        <v>34</v>
      </c>
      <c r="D562" s="45">
        <v>7</v>
      </c>
      <c r="E562" s="45">
        <v>5</v>
      </c>
      <c r="F562" s="46" t="s">
        <v>103</v>
      </c>
      <c r="G562" s="46"/>
      <c r="H562" s="47"/>
      <c r="I562" s="47" t="s">
        <v>298</v>
      </c>
      <c r="J562" s="45" t="str">
        <f>VLOOKUP(Table13232[[#This Row],[Track]],$C$836:$E$882,2,FALSE)</f>
        <v>Vic</v>
      </c>
      <c r="K562" s="49">
        <v>100</v>
      </c>
      <c r="L562" s="45" t="str">
        <f>IF(Table13232[[#This Row],[Fin]]&lt;&gt;"1st","",Table13232[[#This Row],[Div]]*Table13232[[#This Row],[Lev Bet]])</f>
        <v/>
      </c>
      <c r="M562" s="45">
        <f>IF(Table13232[[#This Row],[Lev Ret]]="",Table13232[[#This Row],[Lev Bet]]*-1,L562-K562)</f>
        <v>-100</v>
      </c>
      <c r="N562" s="135">
        <v>200</v>
      </c>
      <c r="O562" s="135" t="str">
        <f>IF(Table13232[[#This Row],[Fin]]&lt;&gt;"1st","",Table13232[[#This Row],[Div]]*Table13232[[#This Row],[Nat and Combo Bet]])</f>
        <v/>
      </c>
      <c r="P562" s="135">
        <f>IF(Table13232[[#This Row],[Lev Ret]]="",Table13232[[#This Row],[Nat and Combo Bet]]*-1,O562-N562)</f>
        <v>-200</v>
      </c>
      <c r="Q562" s="50">
        <f t="shared" si="24"/>
        <v>1</v>
      </c>
      <c r="R562" s="50">
        <f>IF(AND(Q561=2,Q562=1),"",IF(Q562=2,(N562+N563)/2,IF(Table13232[[#This Row],[Dual Listing]]=1,Table13232[[#This Row],[Nat and Combo Bet]],11)))</f>
        <v>200</v>
      </c>
      <c r="S562" s="50" t="str">
        <f t="shared" si="25"/>
        <v/>
      </c>
      <c r="T562" s="50">
        <f t="shared" si="26"/>
        <v>-200</v>
      </c>
      <c r="U562" s="50" t="str">
        <f>IF(Table13232[[#This Row],[Date]]&lt;$U$4,"","Live")</f>
        <v>Live</v>
      </c>
      <c r="V562" s="45" t="str">
        <f>TEXT(Table13232[[#This Row],[Date]],"DDD")</f>
        <v>Sat</v>
      </c>
      <c r="W562" s="45" t="str">
        <f>PROPER(TRIM(Table13232[[#This Row],[Horse]]))</f>
        <v>Sepals</v>
      </c>
    </row>
    <row r="563" spans="1:23" x14ac:dyDescent="0.25">
      <c r="A563" s="43">
        <v>45941</v>
      </c>
      <c r="B563" s="44">
        <v>0.65972222222222221</v>
      </c>
      <c r="C563" s="44" t="s">
        <v>34</v>
      </c>
      <c r="D563" s="45">
        <v>7</v>
      </c>
      <c r="E563" s="45">
        <v>6</v>
      </c>
      <c r="F563" s="46" t="s">
        <v>257</v>
      </c>
      <c r="G563" s="46" t="s">
        <v>21</v>
      </c>
      <c r="H563" s="47">
        <v>12</v>
      </c>
      <c r="I563" s="52" t="s">
        <v>297</v>
      </c>
      <c r="J563" s="45" t="str">
        <f>VLOOKUP(Table13232[[#This Row],[Track]],$C$836:$E$882,2,FALSE)</f>
        <v>Vic</v>
      </c>
      <c r="K563" s="49">
        <v>100</v>
      </c>
      <c r="L563" s="45">
        <f>IF(Table13232[[#This Row],[Fin]]&lt;&gt;"1st","",Table13232[[#This Row],[Div]]*Table13232[[#This Row],[Lev Bet]])</f>
        <v>1200</v>
      </c>
      <c r="M563" s="45">
        <f>IF(Table13232[[#This Row],[Lev Ret]]="",Table13232[[#This Row],[Lev Bet]]*-1,L563-K563)</f>
        <v>1100</v>
      </c>
      <c r="N563" s="135">
        <v>50</v>
      </c>
      <c r="O563" s="135">
        <f>IF(Table13232[[#This Row],[Fin]]&lt;&gt;"1st","",Table13232[[#This Row],[Div]]*Table13232[[#This Row],[Nat and Combo Bet]])</f>
        <v>600</v>
      </c>
      <c r="P563" s="135">
        <f>IF(Table13232[[#This Row],[Lev Ret]]="",Table13232[[#This Row],[Nat and Combo Bet]]*-1,O563-N563)</f>
        <v>550</v>
      </c>
      <c r="Q563" s="50">
        <f t="shared" si="24"/>
        <v>1</v>
      </c>
      <c r="R563" s="50">
        <f>IF(AND(Q562=2,Q563=1),"",IF(Q563=2,(N563+N564)/2,IF(Table13232[[#This Row],[Dual Listing]]=1,Table13232[[#This Row],[Nat and Combo Bet]],11)))</f>
        <v>50</v>
      </c>
      <c r="S563" s="50">
        <f t="shared" si="25"/>
        <v>600</v>
      </c>
      <c r="T563" s="50">
        <f t="shared" si="26"/>
        <v>550</v>
      </c>
      <c r="U563" s="50" t="str">
        <f>IF(Table13232[[#This Row],[Date]]&lt;$U$4,"","Live")</f>
        <v>Live</v>
      </c>
      <c r="V563" s="45" t="str">
        <f>TEXT(Table13232[[#This Row],[Date]],"DDD")</f>
        <v>Sat</v>
      </c>
      <c r="W563" s="45" t="str">
        <f>PROPER(TRIM(Table13232[[#This Row],[Horse]]))</f>
        <v>Transatlantic</v>
      </c>
    </row>
    <row r="564" spans="1:23" x14ac:dyDescent="0.25">
      <c r="A564" s="109">
        <v>45941</v>
      </c>
      <c r="B564" s="53">
        <v>0.67361111111111116</v>
      </c>
      <c r="C564" s="110" t="s">
        <v>11</v>
      </c>
      <c r="D564" s="111">
        <v>7</v>
      </c>
      <c r="E564" s="111">
        <v>6</v>
      </c>
      <c r="F564" s="112" t="s">
        <v>269</v>
      </c>
      <c r="G564" s="112" t="s">
        <v>21</v>
      </c>
      <c r="H564" s="113">
        <v>2.4500000000000002</v>
      </c>
      <c r="I564" s="114" t="s">
        <v>297</v>
      </c>
      <c r="J564" s="45" t="str">
        <f>VLOOKUP(Table13232[[#This Row],[Track]],$C$836:$E$882,2,FALSE)</f>
        <v>NSW</v>
      </c>
      <c r="K564" s="55">
        <v>100</v>
      </c>
      <c r="L564" s="54">
        <f>IF(Table13232[[#This Row],[Fin]]&lt;&gt;"1st","",Table13232[[#This Row],[Div]]*Table13232[[#This Row],[Lev Bet]])</f>
        <v>245.00000000000003</v>
      </c>
      <c r="M564" s="54">
        <f>IF(Table13232[[#This Row],[Lev Ret]]="",Table13232[[#This Row],[Lev Bet]]*-1,L564-K564)</f>
        <v>145.00000000000003</v>
      </c>
      <c r="N564" s="135">
        <v>200</v>
      </c>
      <c r="O564" s="135">
        <f>IF(Table13232[[#This Row],[Fin]]&lt;&gt;"1st","",Table13232[[#This Row],[Div]]*Table13232[[#This Row],[Nat and Combo Bet]])</f>
        <v>490.00000000000006</v>
      </c>
      <c r="P564" s="135">
        <f>IF(Table13232[[#This Row],[Lev Ret]]="",Table13232[[#This Row],[Nat and Combo Bet]]*-1,O564-N564)</f>
        <v>290.00000000000006</v>
      </c>
      <c r="Q564" s="50">
        <f t="shared" si="24"/>
        <v>2</v>
      </c>
      <c r="R564" s="50">
        <f>IF(AND(Q563=2,Q564=1),"",IF(Q564=2,(N564+N565)/2,IF(Table13232[[#This Row],[Dual Listing]]=1,Table13232[[#This Row],[Nat and Combo Bet]],11)))</f>
        <v>175</v>
      </c>
      <c r="S564" s="50">
        <f t="shared" si="25"/>
        <v>428.75000000000006</v>
      </c>
      <c r="T564" s="50">
        <f t="shared" si="26"/>
        <v>253.75000000000006</v>
      </c>
      <c r="U564" s="50" t="str">
        <f>IF(Table13232[[#This Row],[Date]]&lt;$U$4,"","Live")</f>
        <v>Live</v>
      </c>
      <c r="V564" s="45" t="str">
        <f>TEXT(Table13232[[#This Row],[Date]],"DDD")</f>
        <v>Sat</v>
      </c>
      <c r="W564" s="45" t="str">
        <f>PROPER(TRIM(Table13232[[#This Row],[Horse]]))</f>
        <v>Gangsta Granny</v>
      </c>
    </row>
    <row r="565" spans="1:23" x14ac:dyDescent="0.25">
      <c r="A565" s="109">
        <v>45941</v>
      </c>
      <c r="B565" s="53">
        <v>0.67361111111111116</v>
      </c>
      <c r="C565" s="110" t="s">
        <v>11</v>
      </c>
      <c r="D565" s="111">
        <v>7</v>
      </c>
      <c r="E565" s="111">
        <v>6</v>
      </c>
      <c r="F565" s="112" t="s">
        <v>269</v>
      </c>
      <c r="G565" s="112" t="s">
        <v>21</v>
      </c>
      <c r="H565" s="113">
        <v>2.4500000000000002</v>
      </c>
      <c r="I565" s="113" t="s">
        <v>298</v>
      </c>
      <c r="J565" s="45" t="str">
        <f>VLOOKUP(Table13232[[#This Row],[Track]],$C$836:$E$882,2,FALSE)</f>
        <v>NSW</v>
      </c>
      <c r="K565" s="55">
        <v>100</v>
      </c>
      <c r="L565" s="54">
        <f>IF(Table13232[[#This Row],[Fin]]&lt;&gt;"1st","",Table13232[[#This Row],[Div]]*Table13232[[#This Row],[Lev Bet]])</f>
        <v>245.00000000000003</v>
      </c>
      <c r="M565" s="54">
        <f>IF(Table13232[[#This Row],[Lev Ret]]="",Table13232[[#This Row],[Lev Bet]]*-1,L565-K565)</f>
        <v>145.00000000000003</v>
      </c>
      <c r="N565" s="135">
        <v>150</v>
      </c>
      <c r="O565" s="135">
        <f>IF(Table13232[[#This Row],[Fin]]&lt;&gt;"1st","",Table13232[[#This Row],[Div]]*Table13232[[#This Row],[Nat and Combo Bet]])</f>
        <v>367.5</v>
      </c>
      <c r="P565" s="135">
        <f>IF(Table13232[[#This Row],[Lev Ret]]="",Table13232[[#This Row],[Nat and Combo Bet]]*-1,O565-N565)</f>
        <v>217.5</v>
      </c>
      <c r="Q565" s="50">
        <f t="shared" si="24"/>
        <v>1</v>
      </c>
      <c r="R565" s="50" t="str">
        <f>IF(AND(Q564=2,Q565=1),"",IF(Q565=2,(N565+N566)/2,IF(Table13232[[#This Row],[Dual Listing]]=1,Table13232[[#This Row],[Nat and Combo Bet]],11)))</f>
        <v/>
      </c>
      <c r="S565" s="50" t="str">
        <f t="shared" si="25"/>
        <v/>
      </c>
      <c r="T565" s="50" t="str">
        <f t="shared" si="26"/>
        <v/>
      </c>
      <c r="U565" s="50" t="str">
        <f>IF(Table13232[[#This Row],[Date]]&lt;$U$4,"","Live")</f>
        <v>Live</v>
      </c>
      <c r="V565" s="45" t="str">
        <f>TEXT(Table13232[[#This Row],[Date]],"DDD")</f>
        <v>Sat</v>
      </c>
      <c r="W565" s="45" t="str">
        <f>PROPER(TRIM(Table13232[[#This Row],[Horse]]))</f>
        <v>Gangsta Granny</v>
      </c>
    </row>
    <row r="566" spans="1:23" x14ac:dyDescent="0.25">
      <c r="A566" s="43">
        <v>45941</v>
      </c>
      <c r="B566" s="44">
        <v>0.68055555555555558</v>
      </c>
      <c r="C566" s="44" t="s">
        <v>12</v>
      </c>
      <c r="D566" s="45">
        <v>7</v>
      </c>
      <c r="E566" s="45">
        <v>13</v>
      </c>
      <c r="F566" s="46" t="s">
        <v>218</v>
      </c>
      <c r="G566" s="46" t="s">
        <v>21</v>
      </c>
      <c r="H566" s="47">
        <v>2.9</v>
      </c>
      <c r="I566" s="47" t="s">
        <v>298</v>
      </c>
      <c r="J566" s="45" t="str">
        <f>VLOOKUP(Table13232[[#This Row],[Track]],$C$836:$E$882,2,FALSE)</f>
        <v>Qld</v>
      </c>
      <c r="K566" s="49">
        <v>100</v>
      </c>
      <c r="L566" s="45">
        <f>IF(Table13232[[#This Row],[Fin]]&lt;&gt;"1st","",Table13232[[#This Row],[Div]]*Table13232[[#This Row],[Lev Bet]])</f>
        <v>290</v>
      </c>
      <c r="M566" s="45">
        <f>IF(Table13232[[#This Row],[Lev Ret]]="",Table13232[[#This Row],[Lev Bet]]*-1,L566-K566)</f>
        <v>190</v>
      </c>
      <c r="N566" s="135">
        <v>100</v>
      </c>
      <c r="O566" s="135">
        <f>IF(Table13232[[#This Row],[Fin]]&lt;&gt;"1st","",Table13232[[#This Row],[Div]]*Table13232[[#This Row],[Nat and Combo Bet]])</f>
        <v>290</v>
      </c>
      <c r="P566" s="135">
        <f>IF(Table13232[[#This Row],[Lev Ret]]="",Table13232[[#This Row],[Nat and Combo Bet]]*-1,O566-N566)</f>
        <v>190</v>
      </c>
      <c r="Q566" s="50">
        <f t="shared" si="24"/>
        <v>1</v>
      </c>
      <c r="R566" s="50">
        <f>IF(AND(Q565=2,Q566=1),"",IF(Q566=2,(N566+N567)/2,IF(Table13232[[#This Row],[Dual Listing]]=1,Table13232[[#This Row],[Nat and Combo Bet]],11)))</f>
        <v>100</v>
      </c>
      <c r="S566" s="50">
        <f t="shared" si="25"/>
        <v>290</v>
      </c>
      <c r="T566" s="50">
        <f t="shared" si="26"/>
        <v>190</v>
      </c>
      <c r="U566" s="50" t="str">
        <f>IF(Table13232[[#This Row],[Date]]&lt;$U$4,"","Live")</f>
        <v>Live</v>
      </c>
      <c r="V566" s="45" t="str">
        <f>TEXT(Table13232[[#This Row],[Date]],"DDD")</f>
        <v>Sat</v>
      </c>
      <c r="W566" s="45" t="str">
        <f>PROPER(TRIM(Table13232[[#This Row],[Horse]]))</f>
        <v>Victory Flame</v>
      </c>
    </row>
    <row r="567" spans="1:23" x14ac:dyDescent="0.25">
      <c r="A567" s="43">
        <v>45941</v>
      </c>
      <c r="B567" s="44">
        <v>0.70138888888888884</v>
      </c>
      <c r="C567" s="44" t="s">
        <v>11</v>
      </c>
      <c r="D567" s="45">
        <v>8</v>
      </c>
      <c r="E567" s="45">
        <v>9</v>
      </c>
      <c r="F567" s="46" t="s">
        <v>270</v>
      </c>
      <c r="G567" s="46"/>
      <c r="H567" s="47"/>
      <c r="I567" s="47" t="s">
        <v>298</v>
      </c>
      <c r="J567" s="45" t="str">
        <f>VLOOKUP(Table13232[[#This Row],[Track]],$C$836:$E$882,2,FALSE)</f>
        <v>NSW</v>
      </c>
      <c r="K567" s="49">
        <v>100</v>
      </c>
      <c r="L567" s="45" t="str">
        <f>IF(Table13232[[#This Row],[Fin]]&lt;&gt;"1st","",Table13232[[#This Row],[Div]]*Table13232[[#This Row],[Lev Bet]])</f>
        <v/>
      </c>
      <c r="M567" s="45">
        <f>IF(Table13232[[#This Row],[Lev Ret]]="",Table13232[[#This Row],[Lev Bet]]*-1,L567-K567)</f>
        <v>-100</v>
      </c>
      <c r="N567" s="135">
        <v>150</v>
      </c>
      <c r="O567" s="135" t="str">
        <f>IF(Table13232[[#This Row],[Fin]]&lt;&gt;"1st","",Table13232[[#This Row],[Div]]*Table13232[[#This Row],[Nat and Combo Bet]])</f>
        <v/>
      </c>
      <c r="P567" s="135">
        <f>IF(Table13232[[#This Row],[Lev Ret]]="",Table13232[[#This Row],[Nat and Combo Bet]]*-1,O567-N567)</f>
        <v>-150</v>
      </c>
      <c r="Q567" s="50">
        <f t="shared" si="24"/>
        <v>1</v>
      </c>
      <c r="R567" s="50">
        <f>IF(AND(Q566=2,Q567=1),"",IF(Q567=2,(N567+N568)/2,IF(Table13232[[#This Row],[Dual Listing]]=1,Table13232[[#This Row],[Nat and Combo Bet]],11)))</f>
        <v>150</v>
      </c>
      <c r="S567" s="50" t="str">
        <f t="shared" si="25"/>
        <v/>
      </c>
      <c r="T567" s="50">
        <f t="shared" si="26"/>
        <v>-150</v>
      </c>
      <c r="U567" s="50" t="str">
        <f>IF(Table13232[[#This Row],[Date]]&lt;$U$4,"","Live")</f>
        <v>Live</v>
      </c>
      <c r="V567" s="45" t="str">
        <f>TEXT(Table13232[[#This Row],[Date]],"DDD")</f>
        <v>Sat</v>
      </c>
      <c r="W567" s="45" t="str">
        <f>PROPER(TRIM(Table13232[[#This Row],[Horse]]))</f>
        <v>Elamaz</v>
      </c>
    </row>
    <row r="568" spans="1:23" x14ac:dyDescent="0.25">
      <c r="A568" s="43">
        <v>45941</v>
      </c>
      <c r="B568" s="44">
        <v>0.70833333333333337</v>
      </c>
      <c r="C568" s="44" t="s">
        <v>12</v>
      </c>
      <c r="D568" s="45">
        <v>8</v>
      </c>
      <c r="E568" s="45">
        <v>10</v>
      </c>
      <c r="F568" s="46" t="s">
        <v>260</v>
      </c>
      <c r="G568" s="46" t="s">
        <v>23</v>
      </c>
      <c r="H568" s="47"/>
      <c r="I568" s="47" t="s">
        <v>298</v>
      </c>
      <c r="J568" s="45" t="str">
        <f>VLOOKUP(Table13232[[#This Row],[Track]],$C$836:$E$882,2,FALSE)</f>
        <v>Qld</v>
      </c>
      <c r="K568" s="49">
        <v>100</v>
      </c>
      <c r="L568" s="45" t="str">
        <f>IF(Table13232[[#This Row],[Fin]]&lt;&gt;"1st","",Table13232[[#This Row],[Div]]*Table13232[[#This Row],[Lev Bet]])</f>
        <v/>
      </c>
      <c r="M568" s="45">
        <f>IF(Table13232[[#This Row],[Lev Ret]]="",Table13232[[#This Row],[Lev Bet]]*-1,L568-K568)</f>
        <v>-100</v>
      </c>
      <c r="N568" s="135">
        <v>100</v>
      </c>
      <c r="O568" s="135" t="str">
        <f>IF(Table13232[[#This Row],[Fin]]&lt;&gt;"1st","",Table13232[[#This Row],[Div]]*Table13232[[#This Row],[Nat and Combo Bet]])</f>
        <v/>
      </c>
      <c r="P568" s="135">
        <f>IF(Table13232[[#This Row],[Lev Ret]]="",Table13232[[#This Row],[Nat and Combo Bet]]*-1,O568-N568)</f>
        <v>-100</v>
      </c>
      <c r="Q568" s="50">
        <f t="shared" si="24"/>
        <v>1</v>
      </c>
      <c r="R568" s="50">
        <f>IF(AND(Q567=2,Q568=1),"",IF(Q568=2,(N568+N569)/2,IF(Table13232[[#This Row],[Dual Listing]]=1,Table13232[[#This Row],[Nat and Combo Bet]],11)))</f>
        <v>100</v>
      </c>
      <c r="S568" s="50" t="str">
        <f t="shared" si="25"/>
        <v/>
      </c>
      <c r="T568" s="50">
        <f t="shared" si="26"/>
        <v>-100</v>
      </c>
      <c r="U568" s="50" t="str">
        <f>IF(Table13232[[#This Row],[Date]]&lt;$U$4,"","Live")</f>
        <v>Live</v>
      </c>
      <c r="V568" s="45" t="str">
        <f>TEXT(Table13232[[#This Row],[Date]],"DDD")</f>
        <v>Sat</v>
      </c>
      <c r="W568" s="45" t="str">
        <f>PROPER(TRIM(Table13232[[#This Row],[Horse]]))</f>
        <v>So You Are</v>
      </c>
    </row>
    <row r="569" spans="1:23" x14ac:dyDescent="0.25">
      <c r="A569" s="43">
        <v>45941</v>
      </c>
      <c r="B569" s="44">
        <v>0.73402777777777772</v>
      </c>
      <c r="C569" s="44" t="s">
        <v>12</v>
      </c>
      <c r="D569" s="45">
        <v>9</v>
      </c>
      <c r="E569" s="45">
        <v>10</v>
      </c>
      <c r="F569" s="46" t="s">
        <v>271</v>
      </c>
      <c r="G569" s="46"/>
      <c r="H569" s="47"/>
      <c r="I569" s="47" t="s">
        <v>298</v>
      </c>
      <c r="J569" s="45" t="str">
        <f>VLOOKUP(Table13232[[#This Row],[Track]],$C$836:$E$882,2,FALSE)</f>
        <v>Qld</v>
      </c>
      <c r="K569" s="49">
        <v>100</v>
      </c>
      <c r="L569" s="45" t="str">
        <f>IF(Table13232[[#This Row],[Fin]]&lt;&gt;"1st","",Table13232[[#This Row],[Div]]*Table13232[[#This Row],[Lev Bet]])</f>
        <v/>
      </c>
      <c r="M569" s="45">
        <f>IF(Table13232[[#This Row],[Lev Ret]]="",Table13232[[#This Row],[Lev Bet]]*-1,L569-K569)</f>
        <v>-100</v>
      </c>
      <c r="N569" s="135">
        <v>100</v>
      </c>
      <c r="O569" s="135" t="str">
        <f>IF(Table13232[[#This Row],[Fin]]&lt;&gt;"1st","",Table13232[[#This Row],[Div]]*Table13232[[#This Row],[Nat and Combo Bet]])</f>
        <v/>
      </c>
      <c r="P569" s="135">
        <f>IF(Table13232[[#This Row],[Lev Ret]]="",Table13232[[#This Row],[Nat and Combo Bet]]*-1,O569-N569)</f>
        <v>-100</v>
      </c>
      <c r="Q569" s="50">
        <f t="shared" si="24"/>
        <v>1</v>
      </c>
      <c r="R569" s="50">
        <f>IF(AND(Q568=2,Q569=1),"",IF(Q569=2,(N569+N570)/2,IF(Table13232[[#This Row],[Dual Listing]]=1,Table13232[[#This Row],[Nat and Combo Bet]],11)))</f>
        <v>100</v>
      </c>
      <c r="S569" s="50" t="str">
        <f t="shared" si="25"/>
        <v/>
      </c>
      <c r="T569" s="50">
        <f t="shared" si="26"/>
        <v>-100</v>
      </c>
      <c r="U569" s="50" t="str">
        <f>IF(Table13232[[#This Row],[Date]]&lt;$U$4,"","Live")</f>
        <v>Live</v>
      </c>
      <c r="V569" s="45" t="str">
        <f>TEXT(Table13232[[#This Row],[Date]],"DDD")</f>
        <v>Sat</v>
      </c>
      <c r="W569" s="45" t="str">
        <f>PROPER(TRIM(Table13232[[#This Row],[Horse]]))</f>
        <v>Fukubana</v>
      </c>
    </row>
    <row r="570" spans="1:23" x14ac:dyDescent="0.25">
      <c r="A570" s="43">
        <v>45941</v>
      </c>
      <c r="B570" s="44">
        <v>0.73958333333333337</v>
      </c>
      <c r="C570" s="44" t="s">
        <v>34</v>
      </c>
      <c r="D570" s="45">
        <v>10</v>
      </c>
      <c r="E570" s="45">
        <v>3</v>
      </c>
      <c r="F570" s="46" t="s">
        <v>230</v>
      </c>
      <c r="G570" s="46" t="s">
        <v>21</v>
      </c>
      <c r="H570" s="47">
        <v>3.9</v>
      </c>
      <c r="I570" s="47" t="s">
        <v>298</v>
      </c>
      <c r="J570" s="45" t="str">
        <f>VLOOKUP(Table13232[[#This Row],[Track]],$C$836:$E$882,2,FALSE)</f>
        <v>Vic</v>
      </c>
      <c r="K570" s="49">
        <v>100</v>
      </c>
      <c r="L570" s="45">
        <f>IF(Table13232[[#This Row],[Fin]]&lt;&gt;"1st","",Table13232[[#This Row],[Div]]*Table13232[[#This Row],[Lev Bet]])</f>
        <v>390</v>
      </c>
      <c r="M570" s="45">
        <f>IF(Table13232[[#This Row],[Lev Ret]]="",Table13232[[#This Row],[Lev Bet]]*-1,L570-K570)</f>
        <v>290</v>
      </c>
      <c r="N570" s="135">
        <v>200</v>
      </c>
      <c r="O570" s="135">
        <f>IF(Table13232[[#This Row],[Fin]]&lt;&gt;"1st","",Table13232[[#This Row],[Div]]*Table13232[[#This Row],[Nat and Combo Bet]])</f>
        <v>780</v>
      </c>
      <c r="P570" s="135">
        <f>IF(Table13232[[#This Row],[Lev Ret]]="",Table13232[[#This Row],[Nat and Combo Bet]]*-1,O570-N570)</f>
        <v>580</v>
      </c>
      <c r="Q570" s="50">
        <f t="shared" si="24"/>
        <v>1</v>
      </c>
      <c r="R570" s="50">
        <f>IF(AND(Q569=2,Q570=1),"",IF(Q570=2,(N570+N571)/2,IF(Table13232[[#This Row],[Dual Listing]]=1,Table13232[[#This Row],[Nat and Combo Bet]],11)))</f>
        <v>200</v>
      </c>
      <c r="S570" s="50">
        <f t="shared" si="25"/>
        <v>780</v>
      </c>
      <c r="T570" s="50">
        <f t="shared" si="26"/>
        <v>580</v>
      </c>
      <c r="U570" s="50" t="str">
        <f>IF(Table13232[[#This Row],[Date]]&lt;$U$4,"","Live")</f>
        <v>Live</v>
      </c>
      <c r="V570" s="45" t="str">
        <f>TEXT(Table13232[[#This Row],[Date]],"DDD")</f>
        <v>Sat</v>
      </c>
      <c r="W570" s="45" t="str">
        <f>PROPER(TRIM(Table13232[[#This Row],[Horse]]))</f>
        <v>Shes Bulletproof</v>
      </c>
    </row>
    <row r="571" spans="1:23" x14ac:dyDescent="0.25">
      <c r="A571" s="43">
        <v>45941</v>
      </c>
      <c r="B571" s="44">
        <v>0.75347222222222221</v>
      </c>
      <c r="C571" s="44" t="s">
        <v>11</v>
      </c>
      <c r="D571" s="45">
        <v>10</v>
      </c>
      <c r="E571" s="45">
        <v>3</v>
      </c>
      <c r="F571" s="46" t="s">
        <v>272</v>
      </c>
      <c r="G571" s="46" t="s">
        <v>21</v>
      </c>
      <c r="H571" s="47">
        <v>2.5</v>
      </c>
      <c r="I571" s="47" t="s">
        <v>298</v>
      </c>
      <c r="J571" s="45" t="str">
        <f>VLOOKUP(Table13232[[#This Row],[Track]],$C$836:$E$882,2,FALSE)</f>
        <v>NSW</v>
      </c>
      <c r="K571" s="49">
        <v>100</v>
      </c>
      <c r="L571" s="45">
        <f>IF(Table13232[[#This Row],[Fin]]&lt;&gt;"1st","",Table13232[[#This Row],[Div]]*Table13232[[#This Row],[Lev Bet]])</f>
        <v>250</v>
      </c>
      <c r="M571" s="45">
        <f>IF(Table13232[[#This Row],[Lev Ret]]="",Table13232[[#This Row],[Lev Bet]]*-1,L571-K571)</f>
        <v>150</v>
      </c>
      <c r="N571" s="135">
        <v>150</v>
      </c>
      <c r="O571" s="135">
        <f>IF(Table13232[[#This Row],[Fin]]&lt;&gt;"1st","",Table13232[[#This Row],[Div]]*Table13232[[#This Row],[Nat and Combo Bet]])</f>
        <v>375</v>
      </c>
      <c r="P571" s="135">
        <f>IF(Table13232[[#This Row],[Lev Ret]]="",Table13232[[#This Row],[Nat and Combo Bet]]*-1,O571-N571)</f>
        <v>225</v>
      </c>
      <c r="Q571" s="50">
        <f t="shared" si="24"/>
        <v>1</v>
      </c>
      <c r="R571" s="50">
        <f>IF(AND(Q570=2,Q571=1),"",IF(Q571=2,(N571+N572)/2,IF(Table13232[[#This Row],[Dual Listing]]=1,Table13232[[#This Row],[Nat and Combo Bet]],11)))</f>
        <v>150</v>
      </c>
      <c r="S571" s="50">
        <f t="shared" si="25"/>
        <v>375</v>
      </c>
      <c r="T571" s="50">
        <f t="shared" si="26"/>
        <v>225</v>
      </c>
      <c r="U571" s="50" t="str">
        <f>IF(Table13232[[#This Row],[Date]]&lt;$U$4,"","Live")</f>
        <v>Live</v>
      </c>
      <c r="V571" s="45" t="str">
        <f>TEXT(Table13232[[#This Row],[Date]],"DDD")</f>
        <v>Sat</v>
      </c>
      <c r="W571" s="45" t="str">
        <f>PROPER(TRIM(Table13232[[#This Row],[Horse]]))</f>
        <v>Roselyns Star</v>
      </c>
    </row>
    <row r="572" spans="1:23" x14ac:dyDescent="0.25">
      <c r="A572" s="43">
        <v>45941</v>
      </c>
      <c r="B572" s="44">
        <v>0.75347222222222221</v>
      </c>
      <c r="C572" s="44" t="s">
        <v>11</v>
      </c>
      <c r="D572" s="45">
        <v>10</v>
      </c>
      <c r="E572" s="45">
        <v>3</v>
      </c>
      <c r="F572" s="46" t="s">
        <v>295</v>
      </c>
      <c r="G572" s="46" t="s">
        <v>21</v>
      </c>
      <c r="H572" s="47">
        <v>2.5</v>
      </c>
      <c r="I572" s="52" t="s">
        <v>297</v>
      </c>
      <c r="J572" s="45" t="str">
        <f>VLOOKUP(Table13232[[#This Row],[Track]],$C$836:$E$882,2,FALSE)</f>
        <v>NSW</v>
      </c>
      <c r="K572" s="49">
        <v>100</v>
      </c>
      <c r="L572" s="45">
        <f>IF(Table13232[[#This Row],[Fin]]&lt;&gt;"1st","",Table13232[[#This Row],[Div]]*Table13232[[#This Row],[Lev Bet]])</f>
        <v>250</v>
      </c>
      <c r="M572" s="45">
        <f>IF(Table13232[[#This Row],[Lev Ret]]="",Table13232[[#This Row],[Lev Bet]]*-1,L572-K572)</f>
        <v>150</v>
      </c>
      <c r="N572" s="135">
        <v>140</v>
      </c>
      <c r="O572" s="135">
        <f>IF(Table13232[[#This Row],[Fin]]&lt;&gt;"1st","",Table13232[[#This Row],[Div]]*Table13232[[#This Row],[Nat and Combo Bet]])</f>
        <v>350</v>
      </c>
      <c r="P572" s="135">
        <f>IF(Table13232[[#This Row],[Lev Ret]]="",Table13232[[#This Row],[Nat and Combo Bet]]*-1,O572-N572)</f>
        <v>210</v>
      </c>
      <c r="Q572" s="50">
        <f t="shared" si="24"/>
        <v>1</v>
      </c>
      <c r="R572" s="50">
        <f>IF(AND(Q571=2,Q572=1),"",IF(Q572=2,(N572+N573)/2,IF(Table13232[[#This Row],[Dual Listing]]=1,Table13232[[#This Row],[Nat and Combo Bet]],11)))</f>
        <v>140</v>
      </c>
      <c r="S572" s="50">
        <f t="shared" si="25"/>
        <v>350</v>
      </c>
      <c r="T572" s="50">
        <f t="shared" si="26"/>
        <v>210</v>
      </c>
      <c r="U572" s="50" t="str">
        <f>IF(Table13232[[#This Row],[Date]]&lt;$U$4,"","Live")</f>
        <v>Live</v>
      </c>
      <c r="V572" s="45" t="str">
        <f>TEXT(Table13232[[#This Row],[Date]],"DDD")</f>
        <v>Sat</v>
      </c>
      <c r="W572" s="45" t="str">
        <f>PROPER(TRIM(Table13232[[#This Row],[Horse]]))</f>
        <v>Roselyn'S Star</v>
      </c>
    </row>
    <row r="573" spans="1:23" x14ac:dyDescent="0.25">
      <c r="A573" s="43">
        <v>45948</v>
      </c>
      <c r="B573" s="44">
        <v>0.54513888888888884</v>
      </c>
      <c r="C573" s="44" t="s">
        <v>13</v>
      </c>
      <c r="D573" s="45">
        <v>2</v>
      </c>
      <c r="E573" s="45">
        <v>7</v>
      </c>
      <c r="F573" s="46" t="s">
        <v>234</v>
      </c>
      <c r="G573" s="46" t="s">
        <v>21</v>
      </c>
      <c r="H573" s="47">
        <v>6.5</v>
      </c>
      <c r="I573" s="52" t="s">
        <v>297</v>
      </c>
      <c r="J573" s="45" t="str">
        <f>VLOOKUP(Table13232[[#This Row],[Track]],$C$836:$E$882,2,FALSE)</f>
        <v>NSW</v>
      </c>
      <c r="K573" s="49">
        <v>100</v>
      </c>
      <c r="L573" s="45">
        <f>IF(Table13232[[#This Row],[Fin]]&lt;&gt;"1st","",Table13232[[#This Row],[Div]]*Table13232[[#This Row],[Lev Bet]])</f>
        <v>650</v>
      </c>
      <c r="M573" s="45">
        <f>IF(Table13232[[#This Row],[Lev Ret]]="",Table13232[[#This Row],[Lev Bet]]*-1,L573-K573)</f>
        <v>550</v>
      </c>
      <c r="N573" s="135">
        <v>100</v>
      </c>
      <c r="O573" s="135">
        <f>IF(Table13232[[#This Row],[Fin]]&lt;&gt;"1st","",Table13232[[#This Row],[Div]]*Table13232[[#This Row],[Nat and Combo Bet]])</f>
        <v>650</v>
      </c>
      <c r="P573" s="135">
        <f>IF(Table13232[[#This Row],[Lev Ret]]="",Table13232[[#This Row],[Nat and Combo Bet]]*-1,O573-N573)</f>
        <v>550</v>
      </c>
      <c r="Q573" s="50">
        <f t="shared" si="24"/>
        <v>1</v>
      </c>
      <c r="R573" s="50">
        <f>IF(AND(Q572=2,Q573=1),"",IF(Q573=2,(N573+N574)/2,IF(Table13232[[#This Row],[Dual Listing]]=1,Table13232[[#This Row],[Nat and Combo Bet]],11)))</f>
        <v>100</v>
      </c>
      <c r="S573" s="50">
        <f t="shared" si="25"/>
        <v>650</v>
      </c>
      <c r="T573" s="50">
        <f t="shared" si="26"/>
        <v>550</v>
      </c>
      <c r="U573" s="50" t="str">
        <f>IF(Table13232[[#This Row],[Date]]&lt;$U$4,"","Live")</f>
        <v>Live</v>
      </c>
      <c r="V573" s="45" t="str">
        <f>TEXT(Table13232[[#This Row],[Date]],"DDD")</f>
        <v>Sat</v>
      </c>
      <c r="W573" s="45" t="str">
        <f>PROPER(TRIM(Table13232[[#This Row],[Horse]]))</f>
        <v>Travolta</v>
      </c>
    </row>
    <row r="574" spans="1:23" x14ac:dyDescent="0.25">
      <c r="A574" s="43">
        <v>45948</v>
      </c>
      <c r="B574" s="44">
        <v>0.59375</v>
      </c>
      <c r="C574" s="44" t="s">
        <v>13</v>
      </c>
      <c r="D574" s="45">
        <v>4</v>
      </c>
      <c r="E574" s="45">
        <v>7</v>
      </c>
      <c r="F574" s="46" t="s">
        <v>93</v>
      </c>
      <c r="G574" s="46" t="s">
        <v>23</v>
      </c>
      <c r="H574" s="47"/>
      <c r="I574" s="52" t="s">
        <v>297</v>
      </c>
      <c r="J574" s="45" t="str">
        <f>VLOOKUP(Table13232[[#This Row],[Track]],$C$836:$E$882,2,FALSE)</f>
        <v>NSW</v>
      </c>
      <c r="K574" s="49">
        <v>100</v>
      </c>
      <c r="L574" s="45" t="str">
        <f>IF(Table13232[[#This Row],[Fin]]&lt;&gt;"1st","",Table13232[[#This Row],[Div]]*Table13232[[#This Row],[Lev Bet]])</f>
        <v/>
      </c>
      <c r="M574" s="45">
        <f>IF(Table13232[[#This Row],[Lev Ret]]="",Table13232[[#This Row],[Lev Bet]]*-1,L574-K574)</f>
        <v>-100</v>
      </c>
      <c r="N574" s="135">
        <v>200</v>
      </c>
      <c r="O574" s="135" t="str">
        <f>IF(Table13232[[#This Row],[Fin]]&lt;&gt;"1st","",Table13232[[#This Row],[Div]]*Table13232[[#This Row],[Nat and Combo Bet]])</f>
        <v/>
      </c>
      <c r="P574" s="135">
        <f>IF(Table13232[[#This Row],[Lev Ret]]="",Table13232[[#This Row],[Nat and Combo Bet]]*-1,O574-N574)</f>
        <v>-200</v>
      </c>
      <c r="Q574" s="50">
        <f t="shared" si="24"/>
        <v>1</v>
      </c>
      <c r="R574" s="50">
        <f>IF(AND(Q573=2,Q574=1),"",IF(Q574=2,(N574+N575)/2,IF(Table13232[[#This Row],[Dual Listing]]=1,Table13232[[#This Row],[Nat and Combo Bet]],11)))</f>
        <v>200</v>
      </c>
      <c r="S574" s="50" t="str">
        <f t="shared" si="25"/>
        <v/>
      </c>
      <c r="T574" s="50">
        <f t="shared" si="26"/>
        <v>-200</v>
      </c>
      <c r="U574" s="50" t="str">
        <f>IF(Table13232[[#This Row],[Date]]&lt;$U$4,"","Live")</f>
        <v>Live</v>
      </c>
      <c r="V574" s="45" t="str">
        <f>TEXT(Table13232[[#This Row],[Date]],"DDD")</f>
        <v>Sat</v>
      </c>
      <c r="W574" s="45" t="str">
        <f>PROPER(TRIM(Table13232[[#This Row],[Horse]]))</f>
        <v>Perfumist</v>
      </c>
    </row>
    <row r="575" spans="1:23" x14ac:dyDescent="0.25">
      <c r="A575" s="43">
        <v>45948</v>
      </c>
      <c r="B575" s="44">
        <v>0.60763888888888884</v>
      </c>
      <c r="C575" s="44" t="s">
        <v>34</v>
      </c>
      <c r="D575" s="45">
        <v>5</v>
      </c>
      <c r="E575" s="45">
        <v>5</v>
      </c>
      <c r="F575" s="46" t="s">
        <v>88</v>
      </c>
      <c r="G575" s="46" t="s">
        <v>22</v>
      </c>
      <c r="H575" s="47"/>
      <c r="I575" s="52" t="s">
        <v>297</v>
      </c>
      <c r="J575" s="45" t="str">
        <f>VLOOKUP(Table13232[[#This Row],[Track]],$C$836:$E$882,2,FALSE)</f>
        <v>Vic</v>
      </c>
      <c r="K575" s="49">
        <v>100</v>
      </c>
      <c r="L575" s="45" t="str">
        <f>IF(Table13232[[#This Row],[Fin]]&lt;&gt;"1st","",Table13232[[#This Row],[Div]]*Table13232[[#This Row],[Lev Bet]])</f>
        <v/>
      </c>
      <c r="M575" s="45">
        <f>IF(Table13232[[#This Row],[Lev Ret]]="",Table13232[[#This Row],[Lev Bet]]*-1,L575-K575)</f>
        <v>-100</v>
      </c>
      <c r="N575" s="135">
        <v>50</v>
      </c>
      <c r="O575" s="135" t="str">
        <f>IF(Table13232[[#This Row],[Fin]]&lt;&gt;"1st","",Table13232[[#This Row],[Div]]*Table13232[[#This Row],[Nat and Combo Bet]])</f>
        <v/>
      </c>
      <c r="P575" s="135">
        <f>IF(Table13232[[#This Row],[Lev Ret]]="",Table13232[[#This Row],[Nat and Combo Bet]]*-1,O575-N575)</f>
        <v>-50</v>
      </c>
      <c r="Q575" s="50">
        <f t="shared" si="24"/>
        <v>1</v>
      </c>
      <c r="R575" s="50">
        <f>IF(AND(Q574=2,Q575=1),"",IF(Q575=2,(N575+N576)/2,IF(Table13232[[#This Row],[Dual Listing]]=1,Table13232[[#This Row],[Nat and Combo Bet]],11)))</f>
        <v>50</v>
      </c>
      <c r="S575" s="50" t="str">
        <f t="shared" si="25"/>
        <v/>
      </c>
      <c r="T575" s="50">
        <f t="shared" si="26"/>
        <v>-50</v>
      </c>
      <c r="U575" s="50" t="str">
        <f>IF(Table13232[[#This Row],[Date]]&lt;$U$4,"","Live")</f>
        <v>Live</v>
      </c>
      <c r="V575" s="45" t="str">
        <f>TEXT(Table13232[[#This Row],[Date]],"DDD")</f>
        <v>Sat</v>
      </c>
      <c r="W575" s="45" t="str">
        <f>PROPER(TRIM(Table13232[[#This Row],[Horse]]))</f>
        <v>New York Lustre</v>
      </c>
    </row>
    <row r="576" spans="1:23" x14ac:dyDescent="0.25">
      <c r="A576" s="43">
        <v>45948</v>
      </c>
      <c r="B576" s="44">
        <v>0.62361111111111112</v>
      </c>
      <c r="C576" s="44" t="s">
        <v>12</v>
      </c>
      <c r="D576" s="45">
        <v>4</v>
      </c>
      <c r="E576" s="45">
        <v>3</v>
      </c>
      <c r="F576" s="46" t="s">
        <v>245</v>
      </c>
      <c r="G576" s="46" t="s">
        <v>21</v>
      </c>
      <c r="H576" s="47">
        <v>2.2999999999999998</v>
      </c>
      <c r="I576" s="47" t="s">
        <v>298</v>
      </c>
      <c r="J576" s="45" t="str">
        <f>VLOOKUP(Table13232[[#This Row],[Track]],$C$836:$E$882,2,FALSE)</f>
        <v>Qld</v>
      </c>
      <c r="K576" s="49">
        <v>100</v>
      </c>
      <c r="L576" s="45">
        <f>IF(Table13232[[#This Row],[Fin]]&lt;&gt;"1st","",Table13232[[#This Row],[Div]]*Table13232[[#This Row],[Lev Bet]])</f>
        <v>229.99999999999997</v>
      </c>
      <c r="M576" s="45">
        <f>IF(Table13232[[#This Row],[Lev Ret]]="",Table13232[[#This Row],[Lev Bet]]*-1,L576-K576)</f>
        <v>129.99999999999997</v>
      </c>
      <c r="N576" s="135">
        <v>100</v>
      </c>
      <c r="O576" s="135">
        <f>IF(Table13232[[#This Row],[Fin]]&lt;&gt;"1st","",Table13232[[#This Row],[Div]]*Table13232[[#This Row],[Nat and Combo Bet]])</f>
        <v>229.99999999999997</v>
      </c>
      <c r="P576" s="135">
        <f>IF(Table13232[[#This Row],[Lev Ret]]="",Table13232[[#This Row],[Nat and Combo Bet]]*-1,O576-N576)</f>
        <v>129.99999999999997</v>
      </c>
      <c r="Q576" s="50">
        <f t="shared" si="24"/>
        <v>1</v>
      </c>
      <c r="R576" s="50">
        <f>IF(AND(Q575=2,Q576=1),"",IF(Q576=2,(N576+N577)/2,IF(Table13232[[#This Row],[Dual Listing]]=1,Table13232[[#This Row],[Nat and Combo Bet]],11)))</f>
        <v>100</v>
      </c>
      <c r="S576" s="50">
        <f t="shared" si="25"/>
        <v>229.99999999999997</v>
      </c>
      <c r="T576" s="50">
        <f t="shared" si="26"/>
        <v>129.99999999999997</v>
      </c>
      <c r="U576" s="50" t="str">
        <f>IF(Table13232[[#This Row],[Date]]&lt;$U$4,"","Live")</f>
        <v>Live</v>
      </c>
      <c r="V576" s="45" t="str">
        <f>TEXT(Table13232[[#This Row],[Date]],"DDD")</f>
        <v>Sat</v>
      </c>
      <c r="W576" s="45" t="str">
        <f>PROPER(TRIM(Table13232[[#This Row],[Horse]]))</f>
        <v>Party For Two</v>
      </c>
    </row>
    <row r="577" spans="1:23" x14ac:dyDescent="0.25">
      <c r="A577" s="43">
        <v>45948</v>
      </c>
      <c r="B577" s="44">
        <v>0.63194444444444442</v>
      </c>
      <c r="C577" s="44" t="s">
        <v>34</v>
      </c>
      <c r="D577" s="45">
        <v>6</v>
      </c>
      <c r="E577" s="45">
        <v>3</v>
      </c>
      <c r="F577" s="46" t="s">
        <v>296</v>
      </c>
      <c r="G577" s="46"/>
      <c r="H577" s="47"/>
      <c r="I577" s="52" t="s">
        <v>297</v>
      </c>
      <c r="J577" s="45" t="str">
        <f>VLOOKUP(Table13232[[#This Row],[Track]],$C$836:$E$882,2,FALSE)</f>
        <v>Vic</v>
      </c>
      <c r="K577" s="49">
        <v>100</v>
      </c>
      <c r="L577" s="45" t="str">
        <f>IF(Table13232[[#This Row],[Fin]]&lt;&gt;"1st","",Table13232[[#This Row],[Div]]*Table13232[[#This Row],[Lev Bet]])</f>
        <v/>
      </c>
      <c r="M577" s="45">
        <f>IF(Table13232[[#This Row],[Lev Ret]]="",Table13232[[#This Row],[Lev Bet]]*-1,L577-K577)</f>
        <v>-100</v>
      </c>
      <c r="N577" s="135">
        <v>100</v>
      </c>
      <c r="O577" s="135" t="str">
        <f>IF(Table13232[[#This Row],[Fin]]&lt;&gt;"1st","",Table13232[[#This Row],[Div]]*Table13232[[#This Row],[Nat and Combo Bet]])</f>
        <v/>
      </c>
      <c r="P577" s="135">
        <f>IF(Table13232[[#This Row],[Lev Ret]]="",Table13232[[#This Row],[Nat and Combo Bet]]*-1,O577-N577)</f>
        <v>-100</v>
      </c>
      <c r="Q577" s="50">
        <f t="shared" si="24"/>
        <v>1</v>
      </c>
      <c r="R577" s="50">
        <f>IF(AND(Q576=2,Q577=1),"",IF(Q577=2,(N577+N578)/2,IF(Table13232[[#This Row],[Dual Listing]]=1,Table13232[[#This Row],[Nat and Combo Bet]],11)))</f>
        <v>100</v>
      </c>
      <c r="S577" s="50" t="str">
        <f t="shared" si="25"/>
        <v/>
      </c>
      <c r="T577" s="50">
        <f t="shared" si="26"/>
        <v>-100</v>
      </c>
      <c r="U577" s="50" t="str">
        <f>IF(Table13232[[#This Row],[Date]]&lt;$U$4,"","Live")</f>
        <v>Live</v>
      </c>
      <c r="V577" s="45" t="str">
        <f>TEXT(Table13232[[#This Row],[Date]],"DDD")</f>
        <v>Sat</v>
      </c>
      <c r="W577" s="45" t="str">
        <f>PROPER(TRIM(Table13232[[#This Row],[Horse]]))</f>
        <v>Arabian Summer</v>
      </c>
    </row>
    <row r="578" spans="1:23" x14ac:dyDescent="0.25">
      <c r="A578" s="43">
        <v>45948</v>
      </c>
      <c r="B578" s="44">
        <v>0.63194444444444442</v>
      </c>
      <c r="C578" s="44" t="s">
        <v>34</v>
      </c>
      <c r="D578" s="45">
        <v>6</v>
      </c>
      <c r="E578" s="45">
        <v>7</v>
      </c>
      <c r="F578" s="46" t="s">
        <v>164</v>
      </c>
      <c r="G578" s="46" t="s">
        <v>22</v>
      </c>
      <c r="H578" s="47"/>
      <c r="I578" s="47" t="s">
        <v>298</v>
      </c>
      <c r="J578" s="45" t="str">
        <f>VLOOKUP(Table13232[[#This Row],[Track]],$C$836:$E$882,2,FALSE)</f>
        <v>Vic</v>
      </c>
      <c r="K578" s="49">
        <v>100</v>
      </c>
      <c r="L578" s="45" t="str">
        <f>IF(Table13232[[#This Row],[Fin]]&lt;&gt;"1st","",Table13232[[#This Row],[Div]]*Table13232[[#This Row],[Lev Bet]])</f>
        <v/>
      </c>
      <c r="M578" s="45">
        <f>IF(Table13232[[#This Row],[Lev Ret]]="",Table13232[[#This Row],[Lev Bet]]*-1,L578-K578)</f>
        <v>-100</v>
      </c>
      <c r="N578" s="135">
        <v>200</v>
      </c>
      <c r="O578" s="135" t="str">
        <f>IF(Table13232[[#This Row],[Fin]]&lt;&gt;"1st","",Table13232[[#This Row],[Div]]*Table13232[[#This Row],[Nat and Combo Bet]])</f>
        <v/>
      </c>
      <c r="P578" s="135">
        <f>IF(Table13232[[#This Row],[Lev Ret]]="",Table13232[[#This Row],[Nat and Combo Bet]]*-1,O578-N578)</f>
        <v>-200</v>
      </c>
      <c r="Q578" s="50">
        <f t="shared" si="24"/>
        <v>1</v>
      </c>
      <c r="R578" s="50">
        <f>IF(AND(Q577=2,Q578=1),"",IF(Q578=2,(N578+N579)/2,IF(Table13232[[#This Row],[Dual Listing]]=1,Table13232[[#This Row],[Nat and Combo Bet]],11)))</f>
        <v>200</v>
      </c>
      <c r="S578" s="50" t="str">
        <f t="shared" si="25"/>
        <v/>
      </c>
      <c r="T578" s="50">
        <f t="shared" si="26"/>
        <v>-200</v>
      </c>
      <c r="U578" s="50" t="str">
        <f>IF(Table13232[[#This Row],[Date]]&lt;$U$4,"","Live")</f>
        <v>Live</v>
      </c>
      <c r="V578" s="45" t="str">
        <f>TEXT(Table13232[[#This Row],[Date]],"DDD")</f>
        <v>Sat</v>
      </c>
      <c r="W578" s="45" t="str">
        <f>PROPER(TRIM(Table13232[[#This Row],[Horse]]))</f>
        <v>Zealously</v>
      </c>
    </row>
    <row r="579" spans="1:23" x14ac:dyDescent="0.25">
      <c r="A579" s="43">
        <v>45948</v>
      </c>
      <c r="B579" s="44">
        <v>0.68263888888888891</v>
      </c>
      <c r="C579" s="44" t="s">
        <v>12</v>
      </c>
      <c r="D579" s="45">
        <v>6</v>
      </c>
      <c r="E579" s="45">
        <v>10</v>
      </c>
      <c r="F579" s="46" t="s">
        <v>273</v>
      </c>
      <c r="G579" s="46"/>
      <c r="H579" s="47"/>
      <c r="I579" s="47" t="s">
        <v>298</v>
      </c>
      <c r="J579" s="45" t="str">
        <f>VLOOKUP(Table13232[[#This Row],[Track]],$C$836:$E$882,2,FALSE)</f>
        <v>Qld</v>
      </c>
      <c r="K579" s="49">
        <v>100</v>
      </c>
      <c r="L579" s="45" t="str">
        <f>IF(Table13232[[#This Row],[Fin]]&lt;&gt;"1st","",Table13232[[#This Row],[Div]]*Table13232[[#This Row],[Lev Bet]])</f>
        <v/>
      </c>
      <c r="M579" s="45">
        <f>IF(Table13232[[#This Row],[Lev Ret]]="",Table13232[[#This Row],[Lev Bet]]*-1,L579-K579)</f>
        <v>-100</v>
      </c>
      <c r="N579" s="135">
        <v>100</v>
      </c>
      <c r="O579" s="135" t="str">
        <f>IF(Table13232[[#This Row],[Fin]]&lt;&gt;"1st","",Table13232[[#This Row],[Div]]*Table13232[[#This Row],[Nat and Combo Bet]])</f>
        <v/>
      </c>
      <c r="P579" s="135">
        <f>IF(Table13232[[#This Row],[Lev Ret]]="",Table13232[[#This Row],[Nat and Combo Bet]]*-1,O579-N579)</f>
        <v>-100</v>
      </c>
      <c r="Q579" s="50">
        <f t="shared" si="24"/>
        <v>1</v>
      </c>
      <c r="R579" s="50">
        <f>IF(AND(Q578=2,Q579=1),"",IF(Q579=2,(N579+N580)/2,IF(Table13232[[#This Row],[Dual Listing]]=1,Table13232[[#This Row],[Nat and Combo Bet]],11)))</f>
        <v>100</v>
      </c>
      <c r="S579" s="50" t="str">
        <f t="shared" si="25"/>
        <v/>
      </c>
      <c r="T579" s="50">
        <f t="shared" si="26"/>
        <v>-100</v>
      </c>
      <c r="U579" s="50" t="str">
        <f>IF(Table13232[[#This Row],[Date]]&lt;$U$4,"","Live")</f>
        <v>Live</v>
      </c>
      <c r="V579" s="45" t="str">
        <f>TEXT(Table13232[[#This Row],[Date]],"DDD")</f>
        <v>Sat</v>
      </c>
      <c r="W579" s="45" t="str">
        <f>PROPER(TRIM(Table13232[[#This Row],[Horse]]))</f>
        <v>Bremel</v>
      </c>
    </row>
    <row r="580" spans="1:23" x14ac:dyDescent="0.25">
      <c r="A580" s="43">
        <v>45948</v>
      </c>
      <c r="B580" s="44">
        <v>0.6875</v>
      </c>
      <c r="C580" s="44" t="s">
        <v>34</v>
      </c>
      <c r="D580" s="45">
        <v>8</v>
      </c>
      <c r="E580" s="45">
        <v>2</v>
      </c>
      <c r="F580" s="46" t="s">
        <v>274</v>
      </c>
      <c r="G580" s="46" t="s">
        <v>21</v>
      </c>
      <c r="H580" s="47">
        <v>2.1</v>
      </c>
      <c r="I580" s="47" t="s">
        <v>298</v>
      </c>
      <c r="J580" s="45" t="str">
        <f>VLOOKUP(Table13232[[#This Row],[Track]],$C$836:$E$882,2,FALSE)</f>
        <v>Vic</v>
      </c>
      <c r="K580" s="49">
        <v>100</v>
      </c>
      <c r="L580" s="45">
        <f>IF(Table13232[[#This Row],[Fin]]&lt;&gt;"1st","",Table13232[[#This Row],[Div]]*Table13232[[#This Row],[Lev Bet]])</f>
        <v>210</v>
      </c>
      <c r="M580" s="45">
        <f>IF(Table13232[[#This Row],[Lev Ret]]="",Table13232[[#This Row],[Lev Bet]]*-1,L580-K580)</f>
        <v>110</v>
      </c>
      <c r="N580" s="135">
        <v>100</v>
      </c>
      <c r="O580" s="135">
        <f>IF(Table13232[[#This Row],[Fin]]&lt;&gt;"1st","",Table13232[[#This Row],[Div]]*Table13232[[#This Row],[Nat and Combo Bet]])</f>
        <v>210</v>
      </c>
      <c r="P580" s="135">
        <f>IF(Table13232[[#This Row],[Lev Ret]]="",Table13232[[#This Row],[Nat and Combo Bet]]*-1,O580-N580)</f>
        <v>110</v>
      </c>
      <c r="Q580" s="50">
        <f t="shared" si="24"/>
        <v>1</v>
      </c>
      <c r="R580" s="50">
        <f>IF(AND(Q579=2,Q580=1),"",IF(Q580=2,(N580+N581)/2,IF(Table13232[[#This Row],[Dual Listing]]=1,Table13232[[#This Row],[Nat and Combo Bet]],11)))</f>
        <v>100</v>
      </c>
      <c r="S580" s="50">
        <f t="shared" si="25"/>
        <v>210</v>
      </c>
      <c r="T580" s="50">
        <f t="shared" si="26"/>
        <v>110</v>
      </c>
      <c r="U580" s="50" t="str">
        <f>IF(Table13232[[#This Row],[Date]]&lt;$U$4,"","Live")</f>
        <v>Live</v>
      </c>
      <c r="V580" s="45" t="str">
        <f>TEXT(Table13232[[#This Row],[Date]],"DDD")</f>
        <v>Sat</v>
      </c>
      <c r="W580" s="45" t="str">
        <f>PROPER(TRIM(Table13232[[#This Row],[Horse]]))</f>
        <v>Private Eye</v>
      </c>
    </row>
    <row r="581" spans="1:23" x14ac:dyDescent="0.25">
      <c r="A581" s="43">
        <v>45948</v>
      </c>
      <c r="B581" s="44">
        <v>0.74305555555555558</v>
      </c>
      <c r="C581" s="44" t="s">
        <v>34</v>
      </c>
      <c r="D581" s="45">
        <v>10</v>
      </c>
      <c r="E581" s="45">
        <v>9</v>
      </c>
      <c r="F581" s="46" t="s">
        <v>275</v>
      </c>
      <c r="G581" s="46"/>
      <c r="H581" s="47"/>
      <c r="I581" s="47" t="s">
        <v>298</v>
      </c>
      <c r="J581" s="45" t="str">
        <f>VLOOKUP(Table13232[[#This Row],[Track]],$C$836:$E$882,2,FALSE)</f>
        <v>Vic</v>
      </c>
      <c r="K581" s="49">
        <v>100</v>
      </c>
      <c r="L581" s="45" t="str">
        <f>IF(Table13232[[#This Row],[Fin]]&lt;&gt;"1st","",Table13232[[#This Row],[Div]]*Table13232[[#This Row],[Lev Bet]])</f>
        <v/>
      </c>
      <c r="M581" s="45">
        <f>IF(Table13232[[#This Row],[Lev Ret]]="",Table13232[[#This Row],[Lev Bet]]*-1,L581-K581)</f>
        <v>-100</v>
      </c>
      <c r="N581" s="135">
        <v>100</v>
      </c>
      <c r="O581" s="135" t="str">
        <f>IF(Table13232[[#This Row],[Fin]]&lt;&gt;"1st","",Table13232[[#This Row],[Div]]*Table13232[[#This Row],[Nat and Combo Bet]])</f>
        <v/>
      </c>
      <c r="P581" s="135">
        <f>IF(Table13232[[#This Row],[Lev Ret]]="",Table13232[[#This Row],[Nat and Combo Bet]]*-1,O581-N581)</f>
        <v>-100</v>
      </c>
      <c r="Q581" s="50">
        <f t="shared" si="24"/>
        <v>1</v>
      </c>
      <c r="R581" s="50">
        <f>IF(AND(Q580=2,Q581=1),"",IF(Q581=2,(N581+N582)/2,IF(Table13232[[#This Row],[Dual Listing]]=1,Table13232[[#This Row],[Nat and Combo Bet]],11)))</f>
        <v>100</v>
      </c>
      <c r="S581" s="50" t="str">
        <f t="shared" si="25"/>
        <v/>
      </c>
      <c r="T581" s="50">
        <f t="shared" si="26"/>
        <v>-100</v>
      </c>
      <c r="U581" s="50" t="str">
        <f>IF(Table13232[[#This Row],[Date]]&lt;$U$4,"","Live")</f>
        <v>Live</v>
      </c>
      <c r="V581" s="45" t="str">
        <f>TEXT(Table13232[[#This Row],[Date]],"DDD")</f>
        <v>Sat</v>
      </c>
      <c r="W581" s="45" t="str">
        <f>PROPER(TRIM(Table13232[[#This Row],[Horse]]))</f>
        <v>Rapt</v>
      </c>
    </row>
    <row r="582" spans="1:23" x14ac:dyDescent="0.25">
      <c r="A582" s="43">
        <v>45955</v>
      </c>
      <c r="B582" s="44">
        <v>0.57152777777777775</v>
      </c>
      <c r="C582" s="44" t="s">
        <v>9</v>
      </c>
      <c r="D582" s="45">
        <v>2</v>
      </c>
      <c r="E582" s="45">
        <v>13</v>
      </c>
      <c r="F582" s="46" t="s">
        <v>300</v>
      </c>
      <c r="G582" s="46"/>
      <c r="H582" s="47"/>
      <c r="I582" s="47" t="s">
        <v>298</v>
      </c>
      <c r="J582" s="45" t="str">
        <f>VLOOKUP(Table13232[[#This Row],[Track]],$C$836:$E$882,2,FALSE)</f>
        <v>Qld</v>
      </c>
      <c r="K582" s="49">
        <v>100</v>
      </c>
      <c r="L582" s="45" t="str">
        <f>IF(Table13232[[#This Row],[Fin]]&lt;&gt;"1st","",Table13232[[#This Row],[Div]]*Table13232[[#This Row],[Lev Bet]])</f>
        <v/>
      </c>
      <c r="M582" s="45">
        <f>IF(Table13232[[#This Row],[Lev Ret]]="",Table13232[[#This Row],[Lev Bet]]*-1,L582-K582)</f>
        <v>-100</v>
      </c>
      <c r="N582" s="135">
        <v>100</v>
      </c>
      <c r="O582" s="135" t="str">
        <f>IF(Table13232[[#This Row],[Fin]]&lt;&gt;"1st","",Table13232[[#This Row],[Div]]*Table13232[[#This Row],[Nat and Combo Bet]])</f>
        <v/>
      </c>
      <c r="P582" s="135">
        <f>IF(Table13232[[#This Row],[Lev Ret]]="",Table13232[[#This Row],[Nat and Combo Bet]]*-1,O582-N582)</f>
        <v>-100</v>
      </c>
      <c r="Q582" s="50">
        <f t="shared" si="24"/>
        <v>1</v>
      </c>
      <c r="R582" s="50">
        <f>IF(AND(Q581=2,Q582=1),"",IF(Q582=2,(N582+N583)/2,IF(Table13232[[#This Row],[Dual Listing]]=1,Table13232[[#This Row],[Nat and Combo Bet]],11)))</f>
        <v>100</v>
      </c>
      <c r="S582" s="50" t="str">
        <f t="shared" si="25"/>
        <v/>
      </c>
      <c r="T582" s="50">
        <f t="shared" si="26"/>
        <v>-100</v>
      </c>
      <c r="U582" s="50" t="str">
        <f>IF(Table13232[[#This Row],[Date]]&lt;$U$4,"","Live")</f>
        <v>Live</v>
      </c>
      <c r="V582" s="45" t="str">
        <f>TEXT(Table13232[[#This Row],[Date]],"DDD")</f>
        <v>Sat</v>
      </c>
      <c r="W582" s="45" t="str">
        <f>PROPER(TRIM(Table13232[[#This Row],[Horse]]))</f>
        <v>Synergy In Motion</v>
      </c>
    </row>
    <row r="583" spans="1:23" x14ac:dyDescent="0.25">
      <c r="A583" s="43">
        <v>45955</v>
      </c>
      <c r="B583" s="44">
        <v>0.60069444444444442</v>
      </c>
      <c r="C583" s="44" t="s">
        <v>36</v>
      </c>
      <c r="D583" s="45">
        <v>5</v>
      </c>
      <c r="E583" s="45">
        <v>7</v>
      </c>
      <c r="F583" s="46" t="s">
        <v>276</v>
      </c>
      <c r="G583" s="46" t="s">
        <v>21</v>
      </c>
      <c r="H583" s="47">
        <v>11</v>
      </c>
      <c r="I583" s="47" t="s">
        <v>298</v>
      </c>
      <c r="J583" s="45" t="str">
        <f>VLOOKUP(Table13232[[#This Row],[Track]],$C$836:$E$882,2,FALSE)</f>
        <v>Vic</v>
      </c>
      <c r="K583" s="49">
        <v>100</v>
      </c>
      <c r="L583" s="45">
        <f>IF(Table13232[[#This Row],[Fin]]&lt;&gt;"1st","",Table13232[[#This Row],[Div]]*Table13232[[#This Row],[Lev Bet]])</f>
        <v>1100</v>
      </c>
      <c r="M583" s="45">
        <f>IF(Table13232[[#This Row],[Lev Ret]]="",Table13232[[#This Row],[Lev Bet]]*-1,L583-K583)</f>
        <v>1000</v>
      </c>
      <c r="N583" s="135">
        <v>100</v>
      </c>
      <c r="O583" s="135">
        <f>IF(Table13232[[#This Row],[Fin]]&lt;&gt;"1st","",Table13232[[#This Row],[Div]]*Table13232[[#This Row],[Nat and Combo Bet]])</f>
        <v>1100</v>
      </c>
      <c r="P583" s="135">
        <f>IF(Table13232[[#This Row],[Lev Ret]]="",Table13232[[#This Row],[Nat and Combo Bet]]*-1,O583-N583)</f>
        <v>1000</v>
      </c>
      <c r="Q583" s="50">
        <f t="shared" ref="Q583:Q646" si="27">IF(AND(A584=A583,F584=F583),2,1)</f>
        <v>1</v>
      </c>
      <c r="R583" s="50">
        <f>IF(AND(Q582=2,Q583=1),"",IF(Q583=2,(N583+N584)/2,IF(Table13232[[#This Row],[Dual Listing]]=1,Table13232[[#This Row],[Nat and Combo Bet]],11)))</f>
        <v>100</v>
      </c>
      <c r="S583" s="50">
        <f t="shared" ref="S583:S646" si="28">IF(R583="","",IF(O583="","",R583*H583))</f>
        <v>1100</v>
      </c>
      <c r="T583" s="50">
        <f t="shared" ref="T583:T646" si="29">IF(R583="","",IF(S583="",R583*-1,S583-R583))</f>
        <v>1000</v>
      </c>
      <c r="U583" s="50" t="str">
        <f>IF(Table13232[[#This Row],[Date]]&lt;$U$4,"","Live")</f>
        <v>Live</v>
      </c>
      <c r="V583" s="45" t="str">
        <f>TEXT(Table13232[[#This Row],[Date]],"DDD")</f>
        <v>Sat</v>
      </c>
      <c r="W583" s="45" t="str">
        <f>PROPER(TRIM(Table13232[[#This Row],[Horse]]))</f>
        <v>Star Of India</v>
      </c>
    </row>
    <row r="584" spans="1:23" x14ac:dyDescent="0.25">
      <c r="A584" s="43">
        <v>45955</v>
      </c>
      <c r="B584" s="44">
        <v>0.62013888888888891</v>
      </c>
      <c r="C584" s="44" t="s">
        <v>9</v>
      </c>
      <c r="D584" s="45">
        <v>4</v>
      </c>
      <c r="E584" s="45">
        <v>4</v>
      </c>
      <c r="F584" s="46" t="s">
        <v>301</v>
      </c>
      <c r="G584" s="46"/>
      <c r="H584" s="47"/>
      <c r="I584" s="47" t="s">
        <v>298</v>
      </c>
      <c r="J584" s="45" t="str">
        <f>VLOOKUP(Table13232[[#This Row],[Track]],$C$836:$E$882,2,FALSE)</f>
        <v>Qld</v>
      </c>
      <c r="K584" s="49">
        <v>100</v>
      </c>
      <c r="L584" s="45" t="str">
        <f>IF(Table13232[[#This Row],[Fin]]&lt;&gt;"1st","",Table13232[[#This Row],[Div]]*Table13232[[#This Row],[Lev Bet]])</f>
        <v/>
      </c>
      <c r="M584" s="45">
        <f>IF(Table13232[[#This Row],[Lev Ret]]="",Table13232[[#This Row],[Lev Bet]]*-1,L584-K584)</f>
        <v>-100</v>
      </c>
      <c r="N584" s="135">
        <v>100</v>
      </c>
      <c r="O584" s="135" t="str">
        <f>IF(Table13232[[#This Row],[Fin]]&lt;&gt;"1st","",Table13232[[#This Row],[Div]]*Table13232[[#This Row],[Nat and Combo Bet]])</f>
        <v/>
      </c>
      <c r="P584" s="135">
        <f>IF(Table13232[[#This Row],[Lev Ret]]="",Table13232[[#This Row],[Nat and Combo Bet]]*-1,O584-N584)</f>
        <v>-100</v>
      </c>
      <c r="Q584" s="50">
        <f t="shared" si="27"/>
        <v>1</v>
      </c>
      <c r="R584" s="50">
        <f>IF(AND(Q583=2,Q584=1),"",IF(Q584=2,(N584+N585)/2,IF(Table13232[[#This Row],[Dual Listing]]=1,Table13232[[#This Row],[Nat and Combo Bet]],11)))</f>
        <v>100</v>
      </c>
      <c r="S584" s="50" t="str">
        <f t="shared" si="28"/>
        <v/>
      </c>
      <c r="T584" s="50">
        <f t="shared" si="29"/>
        <v>-100</v>
      </c>
      <c r="U584" s="50" t="str">
        <f>IF(Table13232[[#This Row],[Date]]&lt;$U$4,"","Live")</f>
        <v>Live</v>
      </c>
      <c r="V584" s="45" t="str">
        <f>TEXT(Table13232[[#This Row],[Date]],"DDD")</f>
        <v>Sat</v>
      </c>
      <c r="W584" s="45" t="str">
        <f>PROPER(TRIM(Table13232[[#This Row],[Horse]]))</f>
        <v>Freeland</v>
      </c>
    </row>
    <row r="585" spans="1:23" x14ac:dyDescent="0.25">
      <c r="A585" s="43">
        <v>45955</v>
      </c>
      <c r="B585" s="44">
        <v>0.625</v>
      </c>
      <c r="C585" s="44" t="s">
        <v>36</v>
      </c>
      <c r="D585" s="45">
        <v>6</v>
      </c>
      <c r="E585" s="45">
        <v>9</v>
      </c>
      <c r="F585" s="46" t="s">
        <v>302</v>
      </c>
      <c r="G585" s="46" t="s">
        <v>21</v>
      </c>
      <c r="H585" s="47">
        <v>3.8</v>
      </c>
      <c r="I585" s="52" t="s">
        <v>297</v>
      </c>
      <c r="J585" s="45" t="str">
        <f>VLOOKUP(Table13232[[#This Row],[Track]],$C$836:$E$882,2,FALSE)</f>
        <v>Vic</v>
      </c>
      <c r="K585" s="49">
        <v>100</v>
      </c>
      <c r="L585" s="45">
        <f>IF(Table13232[[#This Row],[Fin]]&lt;&gt;"1st","",Table13232[[#This Row],[Div]]*Table13232[[#This Row],[Lev Bet]])</f>
        <v>380</v>
      </c>
      <c r="M585" s="45">
        <f>IF(Table13232[[#This Row],[Lev Ret]]="",Table13232[[#This Row],[Lev Bet]]*-1,L585-K585)</f>
        <v>280</v>
      </c>
      <c r="N585" s="135">
        <v>120</v>
      </c>
      <c r="O585" s="135">
        <f>IF(Table13232[[#This Row],[Fin]]&lt;&gt;"1st","",Table13232[[#This Row],[Div]]*Table13232[[#This Row],[Nat and Combo Bet]])</f>
        <v>456</v>
      </c>
      <c r="P585" s="135">
        <f>IF(Table13232[[#This Row],[Lev Ret]]="",Table13232[[#This Row],[Nat and Combo Bet]]*-1,O585-N585)</f>
        <v>336</v>
      </c>
      <c r="Q585" s="50">
        <f t="shared" si="27"/>
        <v>1</v>
      </c>
      <c r="R585" s="50">
        <f>IF(AND(Q584=2,Q585=1),"",IF(Q585=2,(N585+N586)/2,IF(Table13232[[#This Row],[Dual Listing]]=1,Table13232[[#This Row],[Nat and Combo Bet]],11)))</f>
        <v>120</v>
      </c>
      <c r="S585" s="50">
        <f t="shared" si="28"/>
        <v>456</v>
      </c>
      <c r="T585" s="50">
        <f t="shared" si="29"/>
        <v>336</v>
      </c>
      <c r="U585" s="50" t="str">
        <f>IF(Table13232[[#This Row],[Date]]&lt;$U$4,"","Live")</f>
        <v>Live</v>
      </c>
      <c r="V585" s="45" t="str">
        <f>TEXT(Table13232[[#This Row],[Date]],"DDD")</f>
        <v>Sat</v>
      </c>
      <c r="W585" s="45" t="str">
        <f>PROPER(TRIM(Table13232[[#This Row],[Horse]]))</f>
        <v>She'S A Hustler</v>
      </c>
    </row>
    <row r="586" spans="1:23" x14ac:dyDescent="0.25">
      <c r="A586" s="43">
        <v>45955</v>
      </c>
      <c r="B586" s="44">
        <v>0.63888888888888884</v>
      </c>
      <c r="C586" s="44" t="s">
        <v>13</v>
      </c>
      <c r="D586" s="45">
        <v>6</v>
      </c>
      <c r="E586" s="45">
        <v>1</v>
      </c>
      <c r="F586" s="46" t="s">
        <v>121</v>
      </c>
      <c r="G586" s="46" t="s">
        <v>21</v>
      </c>
      <c r="H586" s="47">
        <v>1.5</v>
      </c>
      <c r="I586" s="47" t="s">
        <v>298</v>
      </c>
      <c r="J586" s="45" t="str">
        <f>VLOOKUP(Table13232[[#This Row],[Track]],$C$836:$E$882,2,FALSE)</f>
        <v>NSW</v>
      </c>
      <c r="K586" s="49">
        <v>100</v>
      </c>
      <c r="L586" s="45">
        <f>IF(Table13232[[#This Row],[Fin]]&lt;&gt;"1st","",Table13232[[#This Row],[Div]]*Table13232[[#This Row],[Lev Bet]])</f>
        <v>150</v>
      </c>
      <c r="M586" s="45">
        <f>IF(Table13232[[#This Row],[Lev Ret]]="",Table13232[[#This Row],[Lev Bet]]*-1,L586-K586)</f>
        <v>50</v>
      </c>
      <c r="N586" s="135">
        <v>150</v>
      </c>
      <c r="O586" s="135">
        <f>IF(Table13232[[#This Row],[Fin]]&lt;&gt;"1st","",Table13232[[#This Row],[Div]]*Table13232[[#This Row],[Nat and Combo Bet]])</f>
        <v>225</v>
      </c>
      <c r="P586" s="135">
        <f>IF(Table13232[[#This Row],[Lev Ret]]="",Table13232[[#This Row],[Nat and Combo Bet]]*-1,O586-N586)</f>
        <v>75</v>
      </c>
      <c r="Q586" s="50">
        <f t="shared" si="27"/>
        <v>1</v>
      </c>
      <c r="R586" s="50">
        <f>IF(AND(Q585=2,Q586=1),"",IF(Q586=2,(N586+N587)/2,IF(Table13232[[#This Row],[Dual Listing]]=1,Table13232[[#This Row],[Nat and Combo Bet]],11)))</f>
        <v>150</v>
      </c>
      <c r="S586" s="50">
        <f t="shared" si="28"/>
        <v>225</v>
      </c>
      <c r="T586" s="50">
        <f t="shared" si="29"/>
        <v>75</v>
      </c>
      <c r="U586" s="50" t="str">
        <f>IF(Table13232[[#This Row],[Date]]&lt;$U$4,"","Live")</f>
        <v>Live</v>
      </c>
      <c r="V586" s="45" t="str">
        <f>TEXT(Table13232[[#This Row],[Date]],"DDD")</f>
        <v>Sat</v>
      </c>
      <c r="W586" s="45" t="str">
        <f>PROPER(TRIM(Table13232[[#This Row],[Horse]]))</f>
        <v>Lindermann</v>
      </c>
    </row>
    <row r="587" spans="1:23" x14ac:dyDescent="0.25">
      <c r="A587" s="43">
        <v>45955</v>
      </c>
      <c r="B587" s="44">
        <v>0.64444444444444449</v>
      </c>
      <c r="C587" s="44" t="s">
        <v>9</v>
      </c>
      <c r="D587" s="45">
        <v>5</v>
      </c>
      <c r="E587" s="45">
        <v>6</v>
      </c>
      <c r="F587" s="46" t="s">
        <v>108</v>
      </c>
      <c r="G587" s="46"/>
      <c r="H587" s="47"/>
      <c r="I587" s="47" t="s">
        <v>298</v>
      </c>
      <c r="J587" s="45" t="str">
        <f>VLOOKUP(Table13232[[#This Row],[Track]],$C$836:$E$882,2,FALSE)</f>
        <v>Qld</v>
      </c>
      <c r="K587" s="49">
        <v>100</v>
      </c>
      <c r="L587" s="45" t="str">
        <f>IF(Table13232[[#This Row],[Fin]]&lt;&gt;"1st","",Table13232[[#This Row],[Div]]*Table13232[[#This Row],[Lev Bet]])</f>
        <v/>
      </c>
      <c r="M587" s="45">
        <f>IF(Table13232[[#This Row],[Lev Ret]]="",Table13232[[#This Row],[Lev Bet]]*-1,L587-K587)</f>
        <v>-100</v>
      </c>
      <c r="N587" s="135">
        <v>100</v>
      </c>
      <c r="O587" s="135" t="str">
        <f>IF(Table13232[[#This Row],[Fin]]&lt;&gt;"1st","",Table13232[[#This Row],[Div]]*Table13232[[#This Row],[Nat and Combo Bet]])</f>
        <v/>
      </c>
      <c r="P587" s="135">
        <f>IF(Table13232[[#This Row],[Lev Ret]]="",Table13232[[#This Row],[Nat and Combo Bet]]*-1,O587-N587)</f>
        <v>-100</v>
      </c>
      <c r="Q587" s="50">
        <f t="shared" si="27"/>
        <v>1</v>
      </c>
      <c r="R587" s="50">
        <f>IF(AND(Q586=2,Q587=1),"",IF(Q587=2,(N587+N588)/2,IF(Table13232[[#This Row],[Dual Listing]]=1,Table13232[[#This Row],[Nat and Combo Bet]],11)))</f>
        <v>100</v>
      </c>
      <c r="S587" s="50" t="str">
        <f t="shared" si="28"/>
        <v/>
      </c>
      <c r="T587" s="50">
        <f t="shared" si="29"/>
        <v>-100</v>
      </c>
      <c r="U587" s="50" t="str">
        <f>IF(Table13232[[#This Row],[Date]]&lt;$U$4,"","Live")</f>
        <v>Live</v>
      </c>
      <c r="V587" s="45" t="str">
        <f>TEXT(Table13232[[#This Row],[Date]],"DDD")</f>
        <v>Sat</v>
      </c>
      <c r="W587" s="45" t="str">
        <f>PROPER(TRIM(Table13232[[#This Row],[Horse]]))</f>
        <v>Cunnamulla Fella</v>
      </c>
    </row>
    <row r="588" spans="1:23" x14ac:dyDescent="0.25">
      <c r="A588" s="43">
        <v>45955</v>
      </c>
      <c r="B588" s="44">
        <v>0.6958333333333333</v>
      </c>
      <c r="C588" s="44" t="s">
        <v>9</v>
      </c>
      <c r="D588" s="45">
        <v>7</v>
      </c>
      <c r="E588" s="45">
        <v>6</v>
      </c>
      <c r="F588" s="46" t="s">
        <v>303</v>
      </c>
      <c r="G588" s="46" t="s">
        <v>21</v>
      </c>
      <c r="H588" s="47">
        <v>2</v>
      </c>
      <c r="I588" s="47" t="s">
        <v>298</v>
      </c>
      <c r="J588" s="45" t="str">
        <f>VLOOKUP(Table13232[[#This Row],[Track]],$C$836:$E$882,2,FALSE)</f>
        <v>Qld</v>
      </c>
      <c r="K588" s="49">
        <v>100</v>
      </c>
      <c r="L588" s="45">
        <f>IF(Table13232[[#This Row],[Fin]]&lt;&gt;"1st","",Table13232[[#This Row],[Div]]*Table13232[[#This Row],[Lev Bet]])</f>
        <v>200</v>
      </c>
      <c r="M588" s="45">
        <f>IF(Table13232[[#This Row],[Lev Ret]]="",Table13232[[#This Row],[Lev Bet]]*-1,L588-K588)</f>
        <v>100</v>
      </c>
      <c r="N588" s="135">
        <v>100</v>
      </c>
      <c r="O588" s="135">
        <f>IF(Table13232[[#This Row],[Fin]]&lt;&gt;"1st","",Table13232[[#This Row],[Div]]*Table13232[[#This Row],[Nat and Combo Bet]])</f>
        <v>200</v>
      </c>
      <c r="P588" s="135">
        <f>IF(Table13232[[#This Row],[Lev Ret]]="",Table13232[[#This Row],[Nat and Combo Bet]]*-1,O588-N588)</f>
        <v>100</v>
      </c>
      <c r="Q588" s="50">
        <f t="shared" si="27"/>
        <v>1</v>
      </c>
      <c r="R588" s="50">
        <f>IF(AND(Q587=2,Q588=1),"",IF(Q588=2,(N588+N589)/2,IF(Table13232[[#This Row],[Dual Listing]]=1,Table13232[[#This Row],[Nat and Combo Bet]],11)))</f>
        <v>100</v>
      </c>
      <c r="S588" s="50">
        <f t="shared" si="28"/>
        <v>200</v>
      </c>
      <c r="T588" s="50">
        <f t="shared" si="29"/>
        <v>100</v>
      </c>
      <c r="U588" s="50" t="str">
        <f>IF(Table13232[[#This Row],[Date]]&lt;$U$4,"","Live")</f>
        <v>Live</v>
      </c>
      <c r="V588" s="45" t="str">
        <f>TEXT(Table13232[[#This Row],[Date]],"DDD")</f>
        <v>Sat</v>
      </c>
      <c r="W588" s="45" t="str">
        <f>PROPER(TRIM(Table13232[[#This Row],[Horse]]))</f>
        <v>Colophon</v>
      </c>
    </row>
    <row r="589" spans="1:23" x14ac:dyDescent="0.25">
      <c r="A589" s="109">
        <v>45955</v>
      </c>
      <c r="B589" s="53">
        <v>0.71875</v>
      </c>
      <c r="C589" s="110" t="s">
        <v>13</v>
      </c>
      <c r="D589" s="111">
        <v>9</v>
      </c>
      <c r="E589" s="111">
        <v>3</v>
      </c>
      <c r="F589" s="112" t="s">
        <v>232</v>
      </c>
      <c r="G589" s="112"/>
      <c r="H589" s="113"/>
      <c r="I589" s="114" t="s">
        <v>297</v>
      </c>
      <c r="J589" s="45" t="str">
        <f>VLOOKUP(Table13232[[#This Row],[Track]],$C$836:$E$882,2,FALSE)</f>
        <v>NSW</v>
      </c>
      <c r="K589" s="55">
        <v>100</v>
      </c>
      <c r="L589" s="54" t="str">
        <f>IF(Table13232[[#This Row],[Fin]]&lt;&gt;"1st","",Table13232[[#This Row],[Div]]*Table13232[[#This Row],[Lev Bet]])</f>
        <v/>
      </c>
      <c r="M589" s="54">
        <f>IF(Table13232[[#This Row],[Lev Ret]]="",Table13232[[#This Row],[Lev Bet]]*-1,L589-K589)</f>
        <v>-100</v>
      </c>
      <c r="N589" s="135">
        <v>150</v>
      </c>
      <c r="O589" s="135" t="str">
        <f>IF(Table13232[[#This Row],[Fin]]&lt;&gt;"1st","",Table13232[[#This Row],[Div]]*Table13232[[#This Row],[Nat and Combo Bet]])</f>
        <v/>
      </c>
      <c r="P589" s="135">
        <f>IF(Table13232[[#This Row],[Lev Ret]]="",Table13232[[#This Row],[Nat and Combo Bet]]*-1,O589-N589)</f>
        <v>-150</v>
      </c>
      <c r="Q589" s="50">
        <f t="shared" si="27"/>
        <v>2</v>
      </c>
      <c r="R589" s="50">
        <f>IF(AND(Q588=2,Q589=1),"",IF(Q589=2,(N589+N590)/2,IF(Table13232[[#This Row],[Dual Listing]]=1,Table13232[[#This Row],[Nat and Combo Bet]],11)))</f>
        <v>150</v>
      </c>
      <c r="S589" s="50" t="str">
        <f t="shared" si="28"/>
        <v/>
      </c>
      <c r="T589" s="50">
        <f t="shared" si="29"/>
        <v>-150</v>
      </c>
      <c r="U589" s="50" t="str">
        <f>IF(Table13232[[#This Row],[Date]]&lt;$U$4,"","Live")</f>
        <v>Live</v>
      </c>
      <c r="V589" s="45" t="str">
        <f>TEXT(Table13232[[#This Row],[Date]],"DDD")</f>
        <v>Sat</v>
      </c>
      <c r="W589" s="45" t="str">
        <f>PROPER(TRIM(Table13232[[#This Row],[Horse]]))</f>
        <v>Miss Roumbini</v>
      </c>
    </row>
    <row r="590" spans="1:23" x14ac:dyDescent="0.25">
      <c r="A590" s="109">
        <v>45955</v>
      </c>
      <c r="B590" s="53">
        <v>0.71875</v>
      </c>
      <c r="C590" s="110" t="s">
        <v>13</v>
      </c>
      <c r="D590" s="111">
        <v>9</v>
      </c>
      <c r="E590" s="111">
        <v>3</v>
      </c>
      <c r="F590" s="112" t="s">
        <v>232</v>
      </c>
      <c r="G590" s="112"/>
      <c r="H590" s="113"/>
      <c r="I590" s="113" t="s">
        <v>298</v>
      </c>
      <c r="J590" s="45" t="str">
        <f>VLOOKUP(Table13232[[#This Row],[Track]],$C$836:$E$882,2,FALSE)</f>
        <v>NSW</v>
      </c>
      <c r="K590" s="55">
        <v>100</v>
      </c>
      <c r="L590" s="54" t="str">
        <f>IF(Table13232[[#This Row],[Fin]]&lt;&gt;"1st","",Table13232[[#This Row],[Div]]*Table13232[[#This Row],[Lev Bet]])</f>
        <v/>
      </c>
      <c r="M590" s="54">
        <f>IF(Table13232[[#This Row],[Lev Ret]]="",Table13232[[#This Row],[Lev Bet]]*-1,L590-K590)</f>
        <v>-100</v>
      </c>
      <c r="N590" s="135">
        <v>150</v>
      </c>
      <c r="O590" s="135" t="str">
        <f>IF(Table13232[[#This Row],[Fin]]&lt;&gt;"1st","",Table13232[[#This Row],[Div]]*Table13232[[#This Row],[Nat and Combo Bet]])</f>
        <v/>
      </c>
      <c r="P590" s="135">
        <f>IF(Table13232[[#This Row],[Lev Ret]]="",Table13232[[#This Row],[Nat and Combo Bet]]*-1,O590-N590)</f>
        <v>-150</v>
      </c>
      <c r="Q590" s="50">
        <f t="shared" si="27"/>
        <v>1</v>
      </c>
      <c r="R590" s="50" t="str">
        <f>IF(AND(Q589=2,Q590=1),"",IF(Q590=2,(N590+N591)/2,IF(Table13232[[#This Row],[Dual Listing]]=1,Table13232[[#This Row],[Nat and Combo Bet]],11)))</f>
        <v/>
      </c>
      <c r="S590" s="50" t="str">
        <f t="shared" si="28"/>
        <v/>
      </c>
      <c r="T590" s="50" t="str">
        <f t="shared" si="29"/>
        <v/>
      </c>
      <c r="U590" s="50" t="str">
        <f>IF(Table13232[[#This Row],[Date]]&lt;$U$4,"","Live")</f>
        <v>Live</v>
      </c>
      <c r="V590" s="45" t="str">
        <f>TEXT(Table13232[[#This Row],[Date]],"DDD")</f>
        <v>Sat</v>
      </c>
      <c r="W590" s="45" t="str">
        <f>PROPER(TRIM(Table13232[[#This Row],[Horse]]))</f>
        <v>Miss Roumbini</v>
      </c>
    </row>
    <row r="591" spans="1:23" x14ac:dyDescent="0.25">
      <c r="A591" s="43">
        <v>45955</v>
      </c>
      <c r="B591" s="44">
        <v>0.75694444444444442</v>
      </c>
      <c r="C591" s="44" t="s">
        <v>9</v>
      </c>
      <c r="D591" s="45">
        <v>9</v>
      </c>
      <c r="E591" s="45">
        <v>18</v>
      </c>
      <c r="F591" s="46" t="s">
        <v>304</v>
      </c>
      <c r="G591" s="46"/>
      <c r="H591" s="47"/>
      <c r="I591" s="47" t="s">
        <v>298</v>
      </c>
      <c r="J591" s="45" t="str">
        <f>VLOOKUP(Table13232[[#This Row],[Track]],$C$836:$E$882,2,FALSE)</f>
        <v>Qld</v>
      </c>
      <c r="K591" s="49">
        <v>100</v>
      </c>
      <c r="L591" s="45" t="str">
        <f>IF(Table13232[[#This Row],[Fin]]&lt;&gt;"1st","",Table13232[[#This Row],[Div]]*Table13232[[#This Row],[Lev Bet]])</f>
        <v/>
      </c>
      <c r="M591" s="45">
        <f>IF(Table13232[[#This Row],[Lev Ret]]="",Table13232[[#This Row],[Lev Bet]]*-1,L591-K591)</f>
        <v>-100</v>
      </c>
      <c r="N591" s="135">
        <v>100</v>
      </c>
      <c r="O591" s="135" t="str">
        <f>IF(Table13232[[#This Row],[Fin]]&lt;&gt;"1st","",Table13232[[#This Row],[Div]]*Table13232[[#This Row],[Nat and Combo Bet]])</f>
        <v/>
      </c>
      <c r="P591" s="135">
        <f>IF(Table13232[[#This Row],[Lev Ret]]="",Table13232[[#This Row],[Nat and Combo Bet]]*-1,O591-N591)</f>
        <v>-100</v>
      </c>
      <c r="Q591" s="50">
        <f t="shared" si="27"/>
        <v>1</v>
      </c>
      <c r="R591" s="50">
        <f>IF(AND(Q590=2,Q591=1),"",IF(Q591=2,(N591+N592)/2,IF(Table13232[[#This Row],[Dual Listing]]=1,Table13232[[#This Row],[Nat and Combo Bet]],11)))</f>
        <v>100</v>
      </c>
      <c r="S591" s="50" t="str">
        <f t="shared" si="28"/>
        <v/>
      </c>
      <c r="T591" s="50">
        <f t="shared" si="29"/>
        <v>-100</v>
      </c>
      <c r="U591" s="50" t="str">
        <f>IF(Table13232[[#This Row],[Date]]&lt;$U$4,"","Live")</f>
        <v>Live</v>
      </c>
      <c r="V591" s="45" t="str">
        <f>TEXT(Table13232[[#This Row],[Date]],"DDD")</f>
        <v>Sat</v>
      </c>
      <c r="W591" s="45" t="str">
        <f>PROPER(TRIM(Table13232[[#This Row],[Horse]]))</f>
        <v>Rock Hard Love</v>
      </c>
    </row>
    <row r="592" spans="1:23" x14ac:dyDescent="0.25">
      <c r="A592" s="43">
        <v>45955</v>
      </c>
      <c r="B592" s="44">
        <v>0.78125</v>
      </c>
      <c r="C592" s="44" t="s">
        <v>9</v>
      </c>
      <c r="D592" s="45">
        <v>10</v>
      </c>
      <c r="E592" s="45">
        <v>13</v>
      </c>
      <c r="F592" s="46" t="s">
        <v>305</v>
      </c>
      <c r="G592" s="46" t="s">
        <v>21</v>
      </c>
      <c r="H592" s="47">
        <v>11</v>
      </c>
      <c r="I592" s="47" t="s">
        <v>298</v>
      </c>
      <c r="J592" s="45" t="str">
        <f>VLOOKUP(Table13232[[#This Row],[Track]],$C$836:$E$882,2,FALSE)</f>
        <v>Qld</v>
      </c>
      <c r="K592" s="49">
        <v>100</v>
      </c>
      <c r="L592" s="45">
        <f>IF(Table13232[[#This Row],[Fin]]&lt;&gt;"1st","",Table13232[[#This Row],[Div]]*Table13232[[#This Row],[Lev Bet]])</f>
        <v>1100</v>
      </c>
      <c r="M592" s="45">
        <f>IF(Table13232[[#This Row],[Lev Ret]]="",Table13232[[#This Row],[Lev Bet]]*-1,L592-K592)</f>
        <v>1000</v>
      </c>
      <c r="N592" s="135">
        <v>100</v>
      </c>
      <c r="O592" s="135">
        <f>IF(Table13232[[#This Row],[Fin]]&lt;&gt;"1st","",Table13232[[#This Row],[Div]]*Table13232[[#This Row],[Nat and Combo Bet]])</f>
        <v>1100</v>
      </c>
      <c r="P592" s="135">
        <f>IF(Table13232[[#This Row],[Lev Ret]]="",Table13232[[#This Row],[Nat and Combo Bet]]*-1,O592-N592)</f>
        <v>1000</v>
      </c>
      <c r="Q592" s="50">
        <f t="shared" si="27"/>
        <v>1</v>
      </c>
      <c r="R592" s="50">
        <f>IF(AND(Q591=2,Q592=1),"",IF(Q592=2,(N592+N593)/2,IF(Table13232[[#This Row],[Dual Listing]]=1,Table13232[[#This Row],[Nat and Combo Bet]],11)))</f>
        <v>100</v>
      </c>
      <c r="S592" s="50">
        <f t="shared" si="28"/>
        <v>1100</v>
      </c>
      <c r="T592" s="50">
        <f t="shared" si="29"/>
        <v>1000</v>
      </c>
      <c r="U592" s="50" t="str">
        <f>IF(Table13232[[#This Row],[Date]]&lt;$U$4,"","Live")</f>
        <v>Live</v>
      </c>
      <c r="V592" s="45" t="str">
        <f>TEXT(Table13232[[#This Row],[Date]],"DDD")</f>
        <v>Sat</v>
      </c>
      <c r="W592" s="45" t="str">
        <f>PROPER(TRIM(Table13232[[#This Row],[Horse]]))</f>
        <v>Epic Proportions</v>
      </c>
    </row>
    <row r="593" spans="1:23" x14ac:dyDescent="0.25">
      <c r="A593" s="43">
        <v>45962</v>
      </c>
      <c r="B593" s="44">
        <v>0.50694444444444442</v>
      </c>
      <c r="C593" s="44" t="s">
        <v>13</v>
      </c>
      <c r="D593" s="45">
        <v>1</v>
      </c>
      <c r="E593" s="45">
        <v>4</v>
      </c>
      <c r="F593" s="46" t="s">
        <v>315</v>
      </c>
      <c r="G593" s="46" t="s">
        <v>23</v>
      </c>
      <c r="H593" s="47"/>
      <c r="I593" s="52" t="s">
        <v>297</v>
      </c>
      <c r="J593" s="45" t="str">
        <f>VLOOKUP(Table13232[[#This Row],[Track]],$C$836:$E$882,2,FALSE)</f>
        <v>NSW</v>
      </c>
      <c r="K593" s="49">
        <v>100</v>
      </c>
      <c r="L593" s="45" t="str">
        <f>IF(Table13232[[#This Row],[Fin]]&lt;&gt;"1st","",Table13232[[#This Row],[Div]]*Table13232[[#This Row],[Lev Bet]])</f>
        <v/>
      </c>
      <c r="M593" s="45">
        <f>IF(Table13232[[#This Row],[Lev Ret]]="",Table13232[[#This Row],[Lev Bet]]*-1,L593-K593)</f>
        <v>-100</v>
      </c>
      <c r="N593" s="135">
        <v>100</v>
      </c>
      <c r="O593" s="135" t="str">
        <f>IF(Table13232[[#This Row],[Fin]]&lt;&gt;"1st","",Table13232[[#This Row],[Div]]*Table13232[[#This Row],[Nat and Combo Bet]])</f>
        <v/>
      </c>
      <c r="P593" s="135">
        <f>IF(Table13232[[#This Row],[Lev Ret]]="",Table13232[[#This Row],[Nat and Combo Bet]]*-1,O593-N593)</f>
        <v>-100</v>
      </c>
      <c r="Q593" s="50">
        <f t="shared" si="27"/>
        <v>1</v>
      </c>
      <c r="R593" s="50">
        <f>IF(AND(Q592=2,Q593=1),"",IF(Q593=2,(N593+N594)/2,IF(Table13232[[#This Row],[Dual Listing]]=1,Table13232[[#This Row],[Nat and Combo Bet]],11)))</f>
        <v>100</v>
      </c>
      <c r="S593" s="50" t="str">
        <f t="shared" si="28"/>
        <v/>
      </c>
      <c r="T593" s="50">
        <f t="shared" si="29"/>
        <v>-100</v>
      </c>
      <c r="U593" s="50" t="str">
        <f>IF(Table13232[[#This Row],[Date]]&lt;$U$4,"","Live")</f>
        <v>Live</v>
      </c>
      <c r="V593" s="45" t="str">
        <f>TEXT(Table13232[[#This Row],[Date]],"DDD")</f>
        <v>Sat</v>
      </c>
      <c r="W593" s="45" t="str">
        <f>PROPER(TRIM(Table13232[[#This Row],[Horse]]))</f>
        <v>Strawberry Impact</v>
      </c>
    </row>
    <row r="594" spans="1:23" x14ac:dyDescent="0.25">
      <c r="A594" s="43">
        <v>45962</v>
      </c>
      <c r="B594" s="44">
        <v>0.55555555555555558</v>
      </c>
      <c r="C594" s="44" t="s">
        <v>13</v>
      </c>
      <c r="D594" s="45">
        <v>3</v>
      </c>
      <c r="E594" s="45">
        <v>5</v>
      </c>
      <c r="F594" s="46" t="s">
        <v>316</v>
      </c>
      <c r="G594" s="46"/>
      <c r="H594" s="47"/>
      <c r="I594" s="52" t="s">
        <v>297</v>
      </c>
      <c r="J594" s="45" t="str">
        <f>VLOOKUP(Table13232[[#This Row],[Track]],$C$836:$E$882,2,FALSE)</f>
        <v>NSW</v>
      </c>
      <c r="K594" s="49">
        <v>100</v>
      </c>
      <c r="L594" s="45" t="str">
        <f>IF(Table13232[[#This Row],[Fin]]&lt;&gt;"1st","",Table13232[[#This Row],[Div]]*Table13232[[#This Row],[Lev Bet]])</f>
        <v/>
      </c>
      <c r="M594" s="45">
        <f>IF(Table13232[[#This Row],[Lev Ret]]="",Table13232[[#This Row],[Lev Bet]]*-1,L594-K594)</f>
        <v>-100</v>
      </c>
      <c r="N594" s="135">
        <v>100</v>
      </c>
      <c r="O594" s="135" t="str">
        <f>IF(Table13232[[#This Row],[Fin]]&lt;&gt;"1st","",Table13232[[#This Row],[Div]]*Table13232[[#This Row],[Nat and Combo Bet]])</f>
        <v/>
      </c>
      <c r="P594" s="135">
        <f>IF(Table13232[[#This Row],[Lev Ret]]="",Table13232[[#This Row],[Nat and Combo Bet]]*-1,O594-N594)</f>
        <v>-100</v>
      </c>
      <c r="Q594" s="50">
        <f t="shared" si="27"/>
        <v>1</v>
      </c>
      <c r="R594" s="50">
        <f>IF(AND(Q593=2,Q594=1),"",IF(Q594=2,(N594+N595)/2,IF(Table13232[[#This Row],[Dual Listing]]=1,Table13232[[#This Row],[Nat and Combo Bet]],11)))</f>
        <v>100</v>
      </c>
      <c r="S594" s="50" t="str">
        <f t="shared" si="28"/>
        <v/>
      </c>
      <c r="T594" s="50">
        <f t="shared" si="29"/>
        <v>-100</v>
      </c>
      <c r="U594" s="50" t="str">
        <f>IF(Table13232[[#This Row],[Date]]&lt;$U$4,"","Live")</f>
        <v>Live</v>
      </c>
      <c r="V594" s="45" t="str">
        <f>TEXT(Table13232[[#This Row],[Date]],"DDD")</f>
        <v>Sat</v>
      </c>
      <c r="W594" s="45" t="str">
        <f>PROPER(TRIM(Table13232[[#This Row],[Horse]]))</f>
        <v>Rubi'S Serve</v>
      </c>
    </row>
    <row r="595" spans="1:23" x14ac:dyDescent="0.25">
      <c r="A595" s="43">
        <v>45962</v>
      </c>
      <c r="B595" s="44">
        <v>0.56388888888888888</v>
      </c>
      <c r="C595" s="44" t="s">
        <v>12</v>
      </c>
      <c r="D595" s="45">
        <v>3</v>
      </c>
      <c r="E595" s="45">
        <v>4</v>
      </c>
      <c r="F595" s="46" t="s">
        <v>311</v>
      </c>
      <c r="G595" s="46"/>
      <c r="H595" s="47"/>
      <c r="I595" s="47" t="s">
        <v>298</v>
      </c>
      <c r="J595" s="45" t="str">
        <f>VLOOKUP(Table13232[[#This Row],[Track]],$C$836:$E$882,2,FALSE)</f>
        <v>Qld</v>
      </c>
      <c r="K595" s="49">
        <v>100</v>
      </c>
      <c r="L595" s="45" t="str">
        <f>IF(Table13232[[#This Row],[Fin]]&lt;&gt;"1st","",Table13232[[#This Row],[Div]]*Table13232[[#This Row],[Lev Bet]])</f>
        <v/>
      </c>
      <c r="M595" s="45">
        <f>IF(Table13232[[#This Row],[Lev Ret]]="",Table13232[[#This Row],[Lev Bet]]*-1,L595-K595)</f>
        <v>-100</v>
      </c>
      <c r="N595" s="135">
        <v>100</v>
      </c>
      <c r="O595" s="135" t="str">
        <f>IF(Table13232[[#This Row],[Fin]]&lt;&gt;"1st","",Table13232[[#This Row],[Div]]*Table13232[[#This Row],[Nat and Combo Bet]])</f>
        <v/>
      </c>
      <c r="P595" s="135">
        <f>IF(Table13232[[#This Row],[Lev Ret]]="",Table13232[[#This Row],[Nat and Combo Bet]]*-1,O595-N595)</f>
        <v>-100</v>
      </c>
      <c r="Q595" s="50">
        <f t="shared" si="27"/>
        <v>1</v>
      </c>
      <c r="R595" s="50">
        <f>IF(AND(Q594=2,Q595=1),"",IF(Q595=2,(N595+N596)/2,IF(Table13232[[#This Row],[Dual Listing]]=1,Table13232[[#This Row],[Nat and Combo Bet]],11)))</f>
        <v>100</v>
      </c>
      <c r="S595" s="50" t="str">
        <f t="shared" si="28"/>
        <v/>
      </c>
      <c r="T595" s="50">
        <f t="shared" si="29"/>
        <v>-100</v>
      </c>
      <c r="U595" s="50" t="str">
        <f>IF(Table13232[[#This Row],[Date]]&lt;$U$4,"","Live")</f>
        <v>Live</v>
      </c>
      <c r="V595" s="45" t="str">
        <f>TEXT(Table13232[[#This Row],[Date]],"DDD")</f>
        <v>Sat</v>
      </c>
      <c r="W595" s="45" t="str">
        <f>PROPER(TRIM(Table13232[[#This Row],[Horse]]))</f>
        <v>Connecticut</v>
      </c>
    </row>
    <row r="596" spans="1:23" x14ac:dyDescent="0.25">
      <c r="A596" s="43">
        <v>45962</v>
      </c>
      <c r="B596" s="44">
        <v>0.56944444444444442</v>
      </c>
      <c r="C596" s="44" t="s">
        <v>76</v>
      </c>
      <c r="D596" s="45">
        <v>3</v>
      </c>
      <c r="E596" s="45">
        <v>10</v>
      </c>
      <c r="F596" s="46" t="s">
        <v>312</v>
      </c>
      <c r="G596" s="46"/>
      <c r="H596" s="47"/>
      <c r="I596" s="47" t="s">
        <v>298</v>
      </c>
      <c r="J596" s="45" t="str">
        <f>VLOOKUP(Table13232[[#This Row],[Track]],$C$836:$E$882,2,FALSE)</f>
        <v>Vic</v>
      </c>
      <c r="K596" s="49">
        <v>100</v>
      </c>
      <c r="L596" s="45" t="str">
        <f>IF(Table13232[[#This Row],[Fin]]&lt;&gt;"1st","",Table13232[[#This Row],[Div]]*Table13232[[#This Row],[Lev Bet]])</f>
        <v/>
      </c>
      <c r="M596" s="45">
        <f>IF(Table13232[[#This Row],[Lev Ret]]="",Table13232[[#This Row],[Lev Bet]]*-1,L596-K596)</f>
        <v>-100</v>
      </c>
      <c r="N596" s="135">
        <v>200</v>
      </c>
      <c r="O596" s="135" t="str">
        <f>IF(Table13232[[#This Row],[Fin]]&lt;&gt;"1st","",Table13232[[#This Row],[Div]]*Table13232[[#This Row],[Nat and Combo Bet]])</f>
        <v/>
      </c>
      <c r="P596" s="135">
        <f>IF(Table13232[[#This Row],[Lev Ret]]="",Table13232[[#This Row],[Nat and Combo Bet]]*-1,O596-N596)</f>
        <v>-200</v>
      </c>
      <c r="Q596" s="50">
        <f t="shared" si="27"/>
        <v>1</v>
      </c>
      <c r="R596" s="50">
        <f>IF(AND(Q595=2,Q596=1),"",IF(Q596=2,(N596+N597)/2,IF(Table13232[[#This Row],[Dual Listing]]=1,Table13232[[#This Row],[Nat and Combo Bet]],11)))</f>
        <v>200</v>
      </c>
      <c r="S596" s="50" t="str">
        <f t="shared" si="28"/>
        <v/>
      </c>
      <c r="T596" s="50">
        <f t="shared" si="29"/>
        <v>-200</v>
      </c>
      <c r="U596" s="50" t="str">
        <f>IF(Table13232[[#This Row],[Date]]&lt;$U$4,"","Live")</f>
        <v>Live</v>
      </c>
      <c r="V596" s="45" t="str">
        <f>TEXT(Table13232[[#This Row],[Date]],"DDD")</f>
        <v>Sat</v>
      </c>
      <c r="W596" s="45" t="str">
        <f>PROPER(TRIM(Table13232[[#This Row],[Horse]]))</f>
        <v>Hedged</v>
      </c>
    </row>
    <row r="597" spans="1:23" x14ac:dyDescent="0.25">
      <c r="A597" s="43">
        <v>45962</v>
      </c>
      <c r="B597" s="44">
        <v>0.61111111111111116</v>
      </c>
      <c r="C597" s="44" t="s">
        <v>13</v>
      </c>
      <c r="D597" s="45">
        <v>5</v>
      </c>
      <c r="E597" s="45">
        <v>12</v>
      </c>
      <c r="F597" s="46" t="s">
        <v>317</v>
      </c>
      <c r="G597" s="46"/>
      <c r="H597" s="47"/>
      <c r="I597" s="52" t="s">
        <v>297</v>
      </c>
      <c r="J597" s="45" t="str">
        <f>VLOOKUP(Table13232[[#This Row],[Track]],$C$836:$E$882,2,FALSE)</f>
        <v>NSW</v>
      </c>
      <c r="K597" s="49">
        <v>100</v>
      </c>
      <c r="L597" s="45" t="str">
        <f>IF(Table13232[[#This Row],[Fin]]&lt;&gt;"1st","",Table13232[[#This Row],[Div]]*Table13232[[#This Row],[Lev Bet]])</f>
        <v/>
      </c>
      <c r="M597" s="45">
        <f>IF(Table13232[[#This Row],[Lev Ret]]="",Table13232[[#This Row],[Lev Bet]]*-1,L597-K597)</f>
        <v>-100</v>
      </c>
      <c r="N597" s="135">
        <v>150</v>
      </c>
      <c r="O597" s="135" t="str">
        <f>IF(Table13232[[#This Row],[Fin]]&lt;&gt;"1st","",Table13232[[#This Row],[Div]]*Table13232[[#This Row],[Nat and Combo Bet]])</f>
        <v/>
      </c>
      <c r="P597" s="135">
        <f>IF(Table13232[[#This Row],[Lev Ret]]="",Table13232[[#This Row],[Nat and Combo Bet]]*-1,O597-N597)</f>
        <v>-150</v>
      </c>
      <c r="Q597" s="50">
        <f t="shared" si="27"/>
        <v>1</v>
      </c>
      <c r="R597" s="50">
        <f>IF(AND(Q596=2,Q597=1),"",IF(Q597=2,(N597+N598)/2,IF(Table13232[[#This Row],[Dual Listing]]=1,Table13232[[#This Row],[Nat and Combo Bet]],11)))</f>
        <v>150</v>
      </c>
      <c r="S597" s="50" t="str">
        <f t="shared" si="28"/>
        <v/>
      </c>
      <c r="T597" s="50">
        <f t="shared" si="29"/>
        <v>-150</v>
      </c>
      <c r="U597" s="50" t="str">
        <f>IF(Table13232[[#This Row],[Date]]&lt;$U$4,"","Live")</f>
        <v>Live</v>
      </c>
      <c r="V597" s="45" t="str">
        <f>TEXT(Table13232[[#This Row],[Date]],"DDD")</f>
        <v>Sat</v>
      </c>
      <c r="W597" s="45" t="str">
        <f>PROPER(TRIM(Table13232[[#This Row],[Horse]]))</f>
        <v>United Kingdom</v>
      </c>
    </row>
    <row r="598" spans="1:23" x14ac:dyDescent="0.25">
      <c r="A598" s="43">
        <v>45962</v>
      </c>
      <c r="B598" s="44">
        <v>0.625</v>
      </c>
      <c r="C598" s="44" t="s">
        <v>76</v>
      </c>
      <c r="D598" s="45">
        <v>5</v>
      </c>
      <c r="E598" s="45">
        <v>6</v>
      </c>
      <c r="F598" s="46" t="s">
        <v>77</v>
      </c>
      <c r="G598" s="46" t="s">
        <v>21</v>
      </c>
      <c r="H598" s="47">
        <v>5.5</v>
      </c>
      <c r="I598" s="52" t="s">
        <v>297</v>
      </c>
      <c r="J598" s="45" t="str">
        <f>VLOOKUP(Table13232[[#This Row],[Track]],$C$836:$E$882,2,FALSE)</f>
        <v>Vic</v>
      </c>
      <c r="K598" s="49">
        <v>100</v>
      </c>
      <c r="L598" s="45">
        <f>IF(Table13232[[#This Row],[Fin]]&lt;&gt;"1st","",Table13232[[#This Row],[Div]]*Table13232[[#This Row],[Lev Bet]])</f>
        <v>550</v>
      </c>
      <c r="M598" s="45">
        <f>IF(Table13232[[#This Row],[Lev Ret]]="",Table13232[[#This Row],[Lev Bet]]*-1,L598-K598)</f>
        <v>450</v>
      </c>
      <c r="N598" s="135">
        <v>100</v>
      </c>
      <c r="O598" s="135">
        <f>IF(Table13232[[#This Row],[Fin]]&lt;&gt;"1st","",Table13232[[#This Row],[Div]]*Table13232[[#This Row],[Nat and Combo Bet]])</f>
        <v>550</v>
      </c>
      <c r="P598" s="135">
        <f>IF(Table13232[[#This Row],[Lev Ret]]="",Table13232[[#This Row],[Nat and Combo Bet]]*-1,O598-N598)</f>
        <v>450</v>
      </c>
      <c r="Q598" s="50">
        <f t="shared" si="27"/>
        <v>1</v>
      </c>
      <c r="R598" s="50">
        <f>IF(AND(Q597=2,Q598=1),"",IF(Q598=2,(N598+N599)/2,IF(Table13232[[#This Row],[Dual Listing]]=1,Table13232[[#This Row],[Nat and Combo Bet]],11)))</f>
        <v>100</v>
      </c>
      <c r="S598" s="50">
        <f t="shared" si="28"/>
        <v>550</v>
      </c>
      <c r="T598" s="50">
        <f t="shared" si="29"/>
        <v>450</v>
      </c>
      <c r="U598" s="50" t="str">
        <f>IF(Table13232[[#This Row],[Date]]&lt;$U$4,"","Live")</f>
        <v>Live</v>
      </c>
      <c r="V598" s="45" t="str">
        <f>TEXT(Table13232[[#This Row],[Date]],"DDD")</f>
        <v>Sat</v>
      </c>
      <c r="W598" s="45" t="str">
        <f>PROPER(TRIM(Table13232[[#This Row],[Horse]]))</f>
        <v>Warnie</v>
      </c>
    </row>
    <row r="599" spans="1:23" x14ac:dyDescent="0.25">
      <c r="A599" s="43">
        <v>45962</v>
      </c>
      <c r="B599" s="44">
        <v>0.625</v>
      </c>
      <c r="C599" s="44" t="s">
        <v>76</v>
      </c>
      <c r="D599" s="45">
        <v>5</v>
      </c>
      <c r="E599" s="45">
        <v>4</v>
      </c>
      <c r="F599" s="46" t="s">
        <v>79</v>
      </c>
      <c r="G599" s="46" t="s">
        <v>23</v>
      </c>
      <c r="H599" s="47"/>
      <c r="I599" s="47" t="s">
        <v>298</v>
      </c>
      <c r="J599" s="45" t="str">
        <f>VLOOKUP(Table13232[[#This Row],[Track]],$C$836:$E$882,2,FALSE)</f>
        <v>Vic</v>
      </c>
      <c r="K599" s="49">
        <v>100</v>
      </c>
      <c r="L599" s="45" t="str">
        <f>IF(Table13232[[#This Row],[Fin]]&lt;&gt;"1st","",Table13232[[#This Row],[Div]]*Table13232[[#This Row],[Lev Bet]])</f>
        <v/>
      </c>
      <c r="M599" s="45">
        <f>IF(Table13232[[#This Row],[Lev Ret]]="",Table13232[[#This Row],[Lev Bet]]*-1,L599-K599)</f>
        <v>-100</v>
      </c>
      <c r="N599" s="135">
        <v>200</v>
      </c>
      <c r="O599" s="135" t="str">
        <f>IF(Table13232[[#This Row],[Fin]]&lt;&gt;"1st","",Table13232[[#This Row],[Div]]*Table13232[[#This Row],[Nat and Combo Bet]])</f>
        <v/>
      </c>
      <c r="P599" s="135">
        <f>IF(Table13232[[#This Row],[Lev Ret]]="",Table13232[[#This Row],[Nat and Combo Bet]]*-1,O599-N599)</f>
        <v>-200</v>
      </c>
      <c r="Q599" s="50">
        <f t="shared" si="27"/>
        <v>1</v>
      </c>
      <c r="R599" s="50">
        <f>IF(AND(Q598=2,Q599=1),"",IF(Q599=2,(N599+N600)/2,IF(Table13232[[#This Row],[Dual Listing]]=1,Table13232[[#This Row],[Nat and Combo Bet]],11)))</f>
        <v>200</v>
      </c>
      <c r="S599" s="50" t="str">
        <f t="shared" si="28"/>
        <v/>
      </c>
      <c r="T599" s="50">
        <f t="shared" si="29"/>
        <v>-200</v>
      </c>
      <c r="U599" s="50" t="str">
        <f>IF(Table13232[[#This Row],[Date]]&lt;$U$4,"","Live")</f>
        <v>Live</v>
      </c>
      <c r="V599" s="45" t="str">
        <f>TEXT(Table13232[[#This Row],[Date]],"DDD")</f>
        <v>Sat</v>
      </c>
      <c r="W599" s="45" t="str">
        <f>PROPER(TRIM(Table13232[[#This Row],[Horse]]))</f>
        <v>Zou Sensation</v>
      </c>
    </row>
    <row r="600" spans="1:23" x14ac:dyDescent="0.25">
      <c r="A600" s="109">
        <v>45962</v>
      </c>
      <c r="B600" s="53">
        <v>0.63888888888888884</v>
      </c>
      <c r="C600" s="110" t="s">
        <v>13</v>
      </c>
      <c r="D600" s="111">
        <v>6</v>
      </c>
      <c r="E600" s="111">
        <v>8</v>
      </c>
      <c r="F600" s="112" t="s">
        <v>313</v>
      </c>
      <c r="G600" s="112"/>
      <c r="H600" s="113"/>
      <c r="I600" s="114" t="s">
        <v>297</v>
      </c>
      <c r="J600" s="45" t="str">
        <f>VLOOKUP(Table13232[[#This Row],[Track]],$C$836:$E$882,2,FALSE)</f>
        <v>NSW</v>
      </c>
      <c r="K600" s="55">
        <v>100</v>
      </c>
      <c r="L600" s="54" t="str">
        <f>IF(Table13232[[#This Row],[Fin]]&lt;&gt;"1st","",Table13232[[#This Row],[Div]]*Table13232[[#This Row],[Lev Bet]])</f>
        <v/>
      </c>
      <c r="M600" s="54">
        <f>IF(Table13232[[#This Row],[Lev Ret]]="",Table13232[[#This Row],[Lev Bet]]*-1,L600-K600)</f>
        <v>-100</v>
      </c>
      <c r="N600" s="135">
        <v>200</v>
      </c>
      <c r="O600" s="135" t="str">
        <f>IF(Table13232[[#This Row],[Fin]]&lt;&gt;"1st","",Table13232[[#This Row],[Div]]*Table13232[[#This Row],[Nat and Combo Bet]])</f>
        <v/>
      </c>
      <c r="P600" s="135">
        <f>IF(Table13232[[#This Row],[Lev Ret]]="",Table13232[[#This Row],[Nat and Combo Bet]]*-1,O600-N600)</f>
        <v>-200</v>
      </c>
      <c r="Q600" s="50">
        <f t="shared" si="27"/>
        <v>2</v>
      </c>
      <c r="R600" s="50">
        <f>IF(AND(Q599=2,Q600=1),"",IF(Q600=2,(N600+N601)/2,IF(Table13232[[#This Row],[Dual Listing]]=1,Table13232[[#This Row],[Nat and Combo Bet]],11)))</f>
        <v>175</v>
      </c>
      <c r="S600" s="50" t="str">
        <f t="shared" si="28"/>
        <v/>
      </c>
      <c r="T600" s="50">
        <f t="shared" si="29"/>
        <v>-175</v>
      </c>
      <c r="U600" s="50" t="str">
        <f>IF(Table13232[[#This Row],[Date]]&lt;$U$4,"","Live")</f>
        <v>Live</v>
      </c>
      <c r="V600" s="45" t="str">
        <f>TEXT(Table13232[[#This Row],[Date]],"DDD")</f>
        <v>Sat</v>
      </c>
      <c r="W600" s="45" t="str">
        <f>PROPER(TRIM(Table13232[[#This Row],[Horse]]))</f>
        <v>Istolea Merc</v>
      </c>
    </row>
    <row r="601" spans="1:23" x14ac:dyDescent="0.25">
      <c r="A601" s="109">
        <v>45962</v>
      </c>
      <c r="B601" s="53">
        <v>0.63888888888888884</v>
      </c>
      <c r="C601" s="110" t="s">
        <v>13</v>
      </c>
      <c r="D601" s="111">
        <v>6</v>
      </c>
      <c r="E601" s="111">
        <v>8</v>
      </c>
      <c r="F601" s="112" t="s">
        <v>313</v>
      </c>
      <c r="G601" s="112"/>
      <c r="H601" s="113"/>
      <c r="I601" s="113" t="s">
        <v>298</v>
      </c>
      <c r="J601" s="45" t="str">
        <f>VLOOKUP(Table13232[[#This Row],[Track]],$C$836:$E$882,2,FALSE)</f>
        <v>NSW</v>
      </c>
      <c r="K601" s="55">
        <v>100</v>
      </c>
      <c r="L601" s="54" t="str">
        <f>IF(Table13232[[#This Row],[Fin]]&lt;&gt;"1st","",Table13232[[#This Row],[Div]]*Table13232[[#This Row],[Lev Bet]])</f>
        <v/>
      </c>
      <c r="M601" s="54">
        <f>IF(Table13232[[#This Row],[Lev Ret]]="",Table13232[[#This Row],[Lev Bet]]*-1,L601-K601)</f>
        <v>-100</v>
      </c>
      <c r="N601" s="135">
        <v>150</v>
      </c>
      <c r="O601" s="135" t="str">
        <f>IF(Table13232[[#This Row],[Fin]]&lt;&gt;"1st","",Table13232[[#This Row],[Div]]*Table13232[[#This Row],[Nat and Combo Bet]])</f>
        <v/>
      </c>
      <c r="P601" s="135">
        <f>IF(Table13232[[#This Row],[Lev Ret]]="",Table13232[[#This Row],[Nat and Combo Bet]]*-1,O601-N601)</f>
        <v>-150</v>
      </c>
      <c r="Q601" s="50">
        <f t="shared" si="27"/>
        <v>1</v>
      </c>
      <c r="R601" s="50" t="str">
        <f>IF(AND(Q600=2,Q601=1),"",IF(Q601=2,(N601+N602)/2,IF(Table13232[[#This Row],[Dual Listing]]=1,Table13232[[#This Row],[Nat and Combo Bet]],11)))</f>
        <v/>
      </c>
      <c r="S601" s="50" t="str">
        <f t="shared" si="28"/>
        <v/>
      </c>
      <c r="T601" s="50" t="str">
        <f t="shared" si="29"/>
        <v/>
      </c>
      <c r="U601" s="50" t="str">
        <f>IF(Table13232[[#This Row],[Date]]&lt;$U$4,"","Live")</f>
        <v>Live</v>
      </c>
      <c r="V601" s="45" t="str">
        <f>TEXT(Table13232[[#This Row],[Date]],"DDD")</f>
        <v>Sat</v>
      </c>
      <c r="W601" s="45" t="str">
        <f>PROPER(TRIM(Table13232[[#This Row],[Horse]]))</f>
        <v>Istolea Merc</v>
      </c>
    </row>
    <row r="602" spans="1:23" x14ac:dyDescent="0.25">
      <c r="A602" s="109">
        <v>45962</v>
      </c>
      <c r="B602" s="53">
        <v>0.69791666666666663</v>
      </c>
      <c r="C602" s="110" t="s">
        <v>13</v>
      </c>
      <c r="D602" s="111">
        <v>8</v>
      </c>
      <c r="E602" s="111">
        <v>14</v>
      </c>
      <c r="F602" s="112" t="s">
        <v>128</v>
      </c>
      <c r="G602" s="112" t="s">
        <v>21</v>
      </c>
      <c r="H602" s="113">
        <v>1.85</v>
      </c>
      <c r="I602" s="114" t="s">
        <v>297</v>
      </c>
      <c r="J602" s="45" t="str">
        <f>VLOOKUP(Table13232[[#This Row],[Track]],$C$836:$E$882,2,FALSE)</f>
        <v>NSW</v>
      </c>
      <c r="K602" s="55">
        <v>100</v>
      </c>
      <c r="L602" s="54">
        <f>IF(Table13232[[#This Row],[Fin]]&lt;&gt;"1st","",Table13232[[#This Row],[Div]]*Table13232[[#This Row],[Lev Bet]])</f>
        <v>185</v>
      </c>
      <c r="M602" s="54">
        <f>IF(Table13232[[#This Row],[Lev Ret]]="",Table13232[[#This Row],[Lev Bet]]*-1,L602-K602)</f>
        <v>85</v>
      </c>
      <c r="N602" s="135">
        <v>200</v>
      </c>
      <c r="O602" s="135">
        <f>IF(Table13232[[#This Row],[Fin]]&lt;&gt;"1st","",Table13232[[#This Row],[Div]]*Table13232[[#This Row],[Nat and Combo Bet]])</f>
        <v>370</v>
      </c>
      <c r="P602" s="135">
        <f>IF(Table13232[[#This Row],[Lev Ret]]="",Table13232[[#This Row],[Nat and Combo Bet]]*-1,O602-N602)</f>
        <v>170</v>
      </c>
      <c r="Q602" s="50">
        <f t="shared" si="27"/>
        <v>2</v>
      </c>
      <c r="R602" s="50">
        <f>IF(AND(Q601=2,Q602=1),"",IF(Q602=2,(N602+N603)/2,IF(Table13232[[#This Row],[Dual Listing]]=1,Table13232[[#This Row],[Nat and Combo Bet]],11)))</f>
        <v>175</v>
      </c>
      <c r="S602" s="50">
        <f t="shared" si="28"/>
        <v>323.75</v>
      </c>
      <c r="T602" s="50">
        <f t="shared" si="29"/>
        <v>148.75</v>
      </c>
      <c r="U602" s="50" t="str">
        <f>IF(Table13232[[#This Row],[Date]]&lt;$U$4,"","Live")</f>
        <v>Live</v>
      </c>
      <c r="V602" s="45" t="str">
        <f>TEXT(Table13232[[#This Row],[Date]],"DDD")</f>
        <v>Sat</v>
      </c>
      <c r="W602" s="45" t="str">
        <f>PROPER(TRIM(Table13232[[#This Row],[Horse]]))</f>
        <v>Autumn Glow</v>
      </c>
    </row>
    <row r="603" spans="1:23" x14ac:dyDescent="0.25">
      <c r="A603" s="109">
        <v>45962</v>
      </c>
      <c r="B603" s="53">
        <v>0.69791666666666663</v>
      </c>
      <c r="C603" s="110" t="s">
        <v>13</v>
      </c>
      <c r="D603" s="111">
        <v>8</v>
      </c>
      <c r="E603" s="111">
        <v>14</v>
      </c>
      <c r="F603" s="112" t="s">
        <v>128</v>
      </c>
      <c r="G603" s="112" t="s">
        <v>21</v>
      </c>
      <c r="H603" s="113">
        <v>1.85</v>
      </c>
      <c r="I603" s="113" t="s">
        <v>298</v>
      </c>
      <c r="J603" s="45" t="str">
        <f>VLOOKUP(Table13232[[#This Row],[Track]],$C$836:$E$882,2,FALSE)</f>
        <v>NSW</v>
      </c>
      <c r="K603" s="55">
        <v>100</v>
      </c>
      <c r="L603" s="54">
        <f>IF(Table13232[[#This Row],[Fin]]&lt;&gt;"1st","",Table13232[[#This Row],[Div]]*Table13232[[#This Row],[Lev Bet]])</f>
        <v>185</v>
      </c>
      <c r="M603" s="54">
        <f>IF(Table13232[[#This Row],[Lev Ret]]="",Table13232[[#This Row],[Lev Bet]]*-1,L603-K603)</f>
        <v>85</v>
      </c>
      <c r="N603" s="135">
        <v>150</v>
      </c>
      <c r="O603" s="135">
        <f>IF(Table13232[[#This Row],[Fin]]&lt;&gt;"1st","",Table13232[[#This Row],[Div]]*Table13232[[#This Row],[Nat and Combo Bet]])</f>
        <v>277.5</v>
      </c>
      <c r="P603" s="135">
        <f>IF(Table13232[[#This Row],[Lev Ret]]="",Table13232[[#This Row],[Nat and Combo Bet]]*-1,O603-N603)</f>
        <v>127.5</v>
      </c>
      <c r="Q603" s="50">
        <f t="shared" si="27"/>
        <v>1</v>
      </c>
      <c r="R603" s="50" t="str">
        <f>IF(AND(Q602=2,Q603=1),"",IF(Q603=2,(N603+N604)/2,IF(Table13232[[#This Row],[Dual Listing]]=1,Table13232[[#This Row],[Nat and Combo Bet]],11)))</f>
        <v/>
      </c>
      <c r="S603" s="50" t="str">
        <f t="shared" si="28"/>
        <v/>
      </c>
      <c r="T603" s="50" t="str">
        <f t="shared" si="29"/>
        <v/>
      </c>
      <c r="U603" s="50" t="str">
        <f>IF(Table13232[[#This Row],[Date]]&lt;$U$4,"","Live")</f>
        <v>Live</v>
      </c>
      <c r="V603" s="45" t="str">
        <f>TEXT(Table13232[[#This Row],[Date]],"DDD")</f>
        <v>Sat</v>
      </c>
      <c r="W603" s="45" t="str">
        <f>PROPER(TRIM(Table13232[[#This Row],[Horse]]))</f>
        <v>Autumn Glow</v>
      </c>
    </row>
    <row r="604" spans="1:23" x14ac:dyDescent="0.25">
      <c r="A604" s="109">
        <v>45962</v>
      </c>
      <c r="B604" s="53">
        <v>0.72222222222222221</v>
      </c>
      <c r="C604" s="110" t="s">
        <v>13</v>
      </c>
      <c r="D604" s="111">
        <v>9</v>
      </c>
      <c r="E604" s="111">
        <v>6</v>
      </c>
      <c r="F604" s="112" t="s">
        <v>314</v>
      </c>
      <c r="G604" s="112" t="s">
        <v>21</v>
      </c>
      <c r="H604" s="113">
        <v>2.9</v>
      </c>
      <c r="I604" s="114" t="s">
        <v>297</v>
      </c>
      <c r="J604" s="45" t="str">
        <f>VLOOKUP(Table13232[[#This Row],[Track]],$C$836:$E$882,2,FALSE)</f>
        <v>NSW</v>
      </c>
      <c r="K604" s="55">
        <v>100</v>
      </c>
      <c r="L604" s="54">
        <f>IF(Table13232[[#This Row],[Fin]]&lt;&gt;"1st","",Table13232[[#This Row],[Div]]*Table13232[[#This Row],[Lev Bet]])</f>
        <v>290</v>
      </c>
      <c r="M604" s="54">
        <f>IF(Table13232[[#This Row],[Lev Ret]]="",Table13232[[#This Row],[Lev Bet]]*-1,L604-K604)</f>
        <v>190</v>
      </c>
      <c r="N604" s="135">
        <v>200</v>
      </c>
      <c r="O604" s="135">
        <f>IF(Table13232[[#This Row],[Fin]]&lt;&gt;"1st","",Table13232[[#This Row],[Div]]*Table13232[[#This Row],[Nat and Combo Bet]])</f>
        <v>580</v>
      </c>
      <c r="P604" s="135">
        <f>IF(Table13232[[#This Row],[Lev Ret]]="",Table13232[[#This Row],[Nat and Combo Bet]]*-1,O604-N604)</f>
        <v>380</v>
      </c>
      <c r="Q604" s="50">
        <f t="shared" si="27"/>
        <v>2</v>
      </c>
      <c r="R604" s="50">
        <f>IF(AND(Q603=2,Q604=1),"",IF(Q604=2,(N604+N605)/2,IF(Table13232[[#This Row],[Dual Listing]]=1,Table13232[[#This Row],[Nat and Combo Bet]],11)))</f>
        <v>175</v>
      </c>
      <c r="S604" s="50">
        <f t="shared" si="28"/>
        <v>507.5</v>
      </c>
      <c r="T604" s="50">
        <f t="shared" si="29"/>
        <v>332.5</v>
      </c>
      <c r="U604" s="50" t="str">
        <f>IF(Table13232[[#This Row],[Date]]&lt;$U$4,"","Live")</f>
        <v>Live</v>
      </c>
      <c r="V604" s="45" t="str">
        <f>TEXT(Table13232[[#This Row],[Date]],"DDD")</f>
        <v>Sat</v>
      </c>
      <c r="W604" s="45" t="str">
        <f>PROPER(TRIM(Table13232[[#This Row],[Horse]]))</f>
        <v>Wootton Verni</v>
      </c>
    </row>
    <row r="605" spans="1:23" x14ac:dyDescent="0.25">
      <c r="A605" s="109">
        <v>45962</v>
      </c>
      <c r="B605" s="53">
        <v>0.72222222222222221</v>
      </c>
      <c r="C605" s="110" t="s">
        <v>13</v>
      </c>
      <c r="D605" s="111">
        <v>9</v>
      </c>
      <c r="E605" s="111">
        <v>6</v>
      </c>
      <c r="F605" s="112" t="s">
        <v>314</v>
      </c>
      <c r="G605" s="112" t="s">
        <v>21</v>
      </c>
      <c r="H605" s="113">
        <v>2.9</v>
      </c>
      <c r="I605" s="113" t="s">
        <v>298</v>
      </c>
      <c r="J605" s="45" t="str">
        <f>VLOOKUP(Table13232[[#This Row],[Track]],$C$836:$E$882,2,FALSE)</f>
        <v>NSW</v>
      </c>
      <c r="K605" s="55">
        <v>100</v>
      </c>
      <c r="L605" s="54">
        <f>IF(Table13232[[#This Row],[Fin]]&lt;&gt;"1st","",Table13232[[#This Row],[Div]]*Table13232[[#This Row],[Lev Bet]])</f>
        <v>290</v>
      </c>
      <c r="M605" s="54">
        <f>IF(Table13232[[#This Row],[Lev Ret]]="",Table13232[[#This Row],[Lev Bet]]*-1,L605-K605)</f>
        <v>190</v>
      </c>
      <c r="N605" s="135">
        <v>150</v>
      </c>
      <c r="O605" s="135">
        <f>IF(Table13232[[#This Row],[Fin]]&lt;&gt;"1st","",Table13232[[#This Row],[Div]]*Table13232[[#This Row],[Nat and Combo Bet]])</f>
        <v>435</v>
      </c>
      <c r="P605" s="135">
        <f>IF(Table13232[[#This Row],[Lev Ret]]="",Table13232[[#This Row],[Nat and Combo Bet]]*-1,O605-N605)</f>
        <v>285</v>
      </c>
      <c r="Q605" s="50">
        <f t="shared" si="27"/>
        <v>1</v>
      </c>
      <c r="R605" s="50" t="str">
        <f>IF(AND(Q604=2,Q605=1),"",IF(Q605=2,(N605+N606)/2,IF(Table13232[[#This Row],[Dual Listing]]=1,Table13232[[#This Row],[Nat and Combo Bet]],11)))</f>
        <v/>
      </c>
      <c r="S605" s="50" t="str">
        <f t="shared" si="28"/>
        <v/>
      </c>
      <c r="T605" s="50" t="str">
        <f t="shared" si="29"/>
        <v/>
      </c>
      <c r="U605" s="50" t="str">
        <f>IF(Table13232[[#This Row],[Date]]&lt;$U$4,"","Live")</f>
        <v>Live</v>
      </c>
      <c r="V605" s="45" t="str">
        <f>TEXT(Table13232[[#This Row],[Date]],"DDD")</f>
        <v>Sat</v>
      </c>
      <c r="W605" s="45" t="str">
        <f>PROPER(TRIM(Table13232[[#This Row],[Horse]]))</f>
        <v>Wootton Verni</v>
      </c>
    </row>
    <row r="606" spans="1:23" x14ac:dyDescent="0.25">
      <c r="A606" s="43">
        <v>45962</v>
      </c>
      <c r="B606" s="44">
        <v>0.73611111111111116</v>
      </c>
      <c r="C606" s="44" t="s">
        <v>76</v>
      </c>
      <c r="D606" s="45">
        <v>9</v>
      </c>
      <c r="E606" s="45">
        <v>2</v>
      </c>
      <c r="F606" s="46" t="s">
        <v>296</v>
      </c>
      <c r="G606" s="46"/>
      <c r="H606" s="47"/>
      <c r="I606" s="52" t="s">
        <v>297</v>
      </c>
      <c r="J606" s="45" t="str">
        <f>VLOOKUP(Table13232[[#This Row],[Track]],$C$836:$E$882,2,FALSE)</f>
        <v>Vic</v>
      </c>
      <c r="K606" s="49">
        <v>100</v>
      </c>
      <c r="L606" s="45" t="str">
        <f>IF(Table13232[[#This Row],[Fin]]&lt;&gt;"1st","",Table13232[[#This Row],[Div]]*Table13232[[#This Row],[Lev Bet]])</f>
        <v/>
      </c>
      <c r="M606" s="45">
        <f>IF(Table13232[[#This Row],[Lev Ret]]="",Table13232[[#This Row],[Lev Bet]]*-1,L606-K606)</f>
        <v>-100</v>
      </c>
      <c r="N606" s="135">
        <v>100</v>
      </c>
      <c r="O606" s="135" t="str">
        <f>IF(Table13232[[#This Row],[Fin]]&lt;&gt;"1st","",Table13232[[#This Row],[Div]]*Table13232[[#This Row],[Nat and Combo Bet]])</f>
        <v/>
      </c>
      <c r="P606" s="135">
        <f>IF(Table13232[[#This Row],[Lev Ret]]="",Table13232[[#This Row],[Nat and Combo Bet]]*-1,O606-N606)</f>
        <v>-100</v>
      </c>
      <c r="Q606" s="50">
        <f t="shared" si="27"/>
        <v>1</v>
      </c>
      <c r="R606" s="50">
        <f>IF(AND(Q605=2,Q606=1),"",IF(Q606=2,(N606+N607)/2,IF(Table13232[[#This Row],[Dual Listing]]=1,Table13232[[#This Row],[Nat and Combo Bet]],11)))</f>
        <v>100</v>
      </c>
      <c r="S606" s="50" t="str">
        <f t="shared" si="28"/>
        <v/>
      </c>
      <c r="T606" s="50">
        <f t="shared" si="29"/>
        <v>-100</v>
      </c>
      <c r="U606" s="50" t="str">
        <f>IF(Table13232[[#This Row],[Date]]&lt;$U$4,"","Live")</f>
        <v>Live</v>
      </c>
      <c r="V606" s="45" t="str">
        <f>TEXT(Table13232[[#This Row],[Date]],"DDD")</f>
        <v>Sat</v>
      </c>
      <c r="W606" s="45" t="str">
        <f>PROPER(TRIM(Table13232[[#This Row],[Horse]]))</f>
        <v>Arabian Summer</v>
      </c>
    </row>
    <row r="607" spans="1:23" x14ac:dyDescent="0.25">
      <c r="A607" s="43">
        <v>45962</v>
      </c>
      <c r="B607" s="44">
        <v>0.73611111111111116</v>
      </c>
      <c r="C607" s="44" t="s">
        <v>76</v>
      </c>
      <c r="D607" s="45">
        <v>9</v>
      </c>
      <c r="E607" s="45">
        <v>10</v>
      </c>
      <c r="F607" s="46" t="s">
        <v>88</v>
      </c>
      <c r="G607" s="46" t="s">
        <v>21</v>
      </c>
      <c r="H607" s="47">
        <v>10</v>
      </c>
      <c r="I607" s="47" t="s">
        <v>298</v>
      </c>
      <c r="J607" s="45" t="str">
        <f>VLOOKUP(Table13232[[#This Row],[Track]],$C$836:$E$882,2,FALSE)</f>
        <v>Vic</v>
      </c>
      <c r="K607" s="49">
        <v>100</v>
      </c>
      <c r="L607" s="45">
        <f>IF(Table13232[[#This Row],[Fin]]&lt;&gt;"1st","",Table13232[[#This Row],[Div]]*Table13232[[#This Row],[Lev Bet]])</f>
        <v>1000</v>
      </c>
      <c r="M607" s="45">
        <f>IF(Table13232[[#This Row],[Lev Ret]]="",Table13232[[#This Row],[Lev Bet]]*-1,L607-K607)</f>
        <v>900</v>
      </c>
      <c r="N607" s="135">
        <v>200</v>
      </c>
      <c r="O607" s="135">
        <f>IF(Table13232[[#This Row],[Fin]]&lt;&gt;"1st","",Table13232[[#This Row],[Div]]*Table13232[[#This Row],[Nat and Combo Bet]])</f>
        <v>2000</v>
      </c>
      <c r="P607" s="135">
        <f>IF(Table13232[[#This Row],[Lev Ret]]="",Table13232[[#This Row],[Nat and Combo Bet]]*-1,O607-N607)</f>
        <v>1800</v>
      </c>
      <c r="Q607" s="50">
        <f t="shared" si="27"/>
        <v>1</v>
      </c>
      <c r="R607" s="50">
        <f>IF(AND(Q606=2,Q607=1),"",IF(Q607=2,(N607+N608)/2,IF(Table13232[[#This Row],[Dual Listing]]=1,Table13232[[#This Row],[Nat and Combo Bet]],11)))</f>
        <v>200</v>
      </c>
      <c r="S607" s="50">
        <f t="shared" si="28"/>
        <v>2000</v>
      </c>
      <c r="T607" s="50">
        <f t="shared" si="29"/>
        <v>1800</v>
      </c>
      <c r="U607" s="50" t="str">
        <f>IF(Table13232[[#This Row],[Date]]&lt;$U$4,"","Live")</f>
        <v>Live</v>
      </c>
      <c r="V607" s="45" t="str">
        <f>TEXT(Table13232[[#This Row],[Date]],"DDD")</f>
        <v>Sat</v>
      </c>
      <c r="W607" s="45" t="str">
        <f>PROPER(TRIM(Table13232[[#This Row],[Horse]]))</f>
        <v>New York Lustre</v>
      </c>
    </row>
    <row r="608" spans="1:23" x14ac:dyDescent="0.25">
      <c r="A608" s="43">
        <v>45965</v>
      </c>
      <c r="B608" s="44">
        <v>0.57986111111111116</v>
      </c>
      <c r="C608" s="44" t="s">
        <v>76</v>
      </c>
      <c r="D608" s="45">
        <v>6</v>
      </c>
      <c r="E608" s="45">
        <v>6</v>
      </c>
      <c r="F608" s="46" t="s">
        <v>322</v>
      </c>
      <c r="G608" s="46"/>
      <c r="H608" s="47"/>
      <c r="I608" s="52" t="s">
        <v>297</v>
      </c>
      <c r="J608" s="45" t="str">
        <f>VLOOKUP(Table13232[[#This Row],[Track]],$C$836:$E$882,2,FALSE)</f>
        <v>Vic</v>
      </c>
      <c r="K608" s="49">
        <v>100</v>
      </c>
      <c r="L608" s="45" t="str">
        <f>IF(Table13232[[#This Row],[Fin]]&lt;&gt;"1st","",Table13232[[#This Row],[Div]]*Table13232[[#This Row],[Lev Bet]])</f>
        <v/>
      </c>
      <c r="M608" s="45">
        <f>IF(Table13232[[#This Row],[Lev Ret]]="",Table13232[[#This Row],[Lev Bet]]*-1,L608-K608)</f>
        <v>-100</v>
      </c>
      <c r="N608" s="135">
        <v>100</v>
      </c>
      <c r="O608" s="135" t="str">
        <f>IF(Table13232[[#This Row],[Fin]]&lt;&gt;"1st","",Table13232[[#This Row],[Div]]*Table13232[[#This Row],[Nat and Combo Bet]])</f>
        <v/>
      </c>
      <c r="P608" s="135">
        <f>IF(Table13232[[#This Row],[Lev Ret]]="",Table13232[[#This Row],[Nat and Combo Bet]]*-1,O608-N608)</f>
        <v>-100</v>
      </c>
      <c r="Q608" s="50">
        <f t="shared" si="27"/>
        <v>1</v>
      </c>
      <c r="R608" s="50">
        <f>IF(AND(Q607=2,Q608=1),"",IF(Q608=2,(N608+N609)/2,IF(Table13232[[#This Row],[Dual Listing]]=1,Table13232[[#This Row],[Nat and Combo Bet]],11)))</f>
        <v>100</v>
      </c>
      <c r="S608" s="50" t="str">
        <f t="shared" si="28"/>
        <v/>
      </c>
      <c r="T608" s="50">
        <f t="shared" si="29"/>
        <v>-100</v>
      </c>
      <c r="U608" s="50" t="str">
        <f>IF(Table13232[[#This Row],[Date]]&lt;$U$4,"","Live")</f>
        <v>Live</v>
      </c>
      <c r="V608" s="45" t="str">
        <f>TEXT(Table13232[[#This Row],[Date]],"DDD")</f>
        <v>Tue</v>
      </c>
      <c r="W608" s="45" t="str">
        <f>PROPER(TRIM(Table13232[[#This Row],[Horse]]))</f>
        <v>Athanatos</v>
      </c>
    </row>
    <row r="609" spans="1:23" x14ac:dyDescent="0.25">
      <c r="A609" s="43">
        <v>45965</v>
      </c>
      <c r="B609" s="44">
        <v>0.72569444444444442</v>
      </c>
      <c r="C609" s="44" t="s">
        <v>76</v>
      </c>
      <c r="D609" s="45">
        <v>10</v>
      </c>
      <c r="E609" s="45">
        <v>3</v>
      </c>
      <c r="F609" s="46" t="s">
        <v>138</v>
      </c>
      <c r="G609" s="46" t="s">
        <v>22</v>
      </c>
      <c r="H609" s="47"/>
      <c r="I609" s="52" t="s">
        <v>297</v>
      </c>
      <c r="J609" s="45" t="str">
        <f>VLOOKUP(Table13232[[#This Row],[Track]],$C$836:$E$882,2,FALSE)</f>
        <v>Vic</v>
      </c>
      <c r="K609" s="49">
        <v>100</v>
      </c>
      <c r="L609" s="45" t="str">
        <f>IF(Table13232[[#This Row],[Fin]]&lt;&gt;"1st","",Table13232[[#This Row],[Div]]*Table13232[[#This Row],[Lev Bet]])</f>
        <v/>
      </c>
      <c r="M609" s="45">
        <f>IF(Table13232[[#This Row],[Lev Ret]]="",Table13232[[#This Row],[Lev Bet]]*-1,L609-K609)</f>
        <v>-100</v>
      </c>
      <c r="N609" s="135">
        <v>100</v>
      </c>
      <c r="O609" s="135" t="str">
        <f>IF(Table13232[[#This Row],[Fin]]&lt;&gt;"1st","",Table13232[[#This Row],[Div]]*Table13232[[#This Row],[Nat and Combo Bet]])</f>
        <v/>
      </c>
      <c r="P609" s="135">
        <f>IF(Table13232[[#This Row],[Lev Ret]]="",Table13232[[#This Row],[Nat and Combo Bet]]*-1,O609-N609)</f>
        <v>-100</v>
      </c>
      <c r="Q609" s="50">
        <f t="shared" si="27"/>
        <v>1</v>
      </c>
      <c r="R609" s="50">
        <f>IF(AND(Q608=2,Q609=1),"",IF(Q609=2,(N609+N610)/2,IF(Table13232[[#This Row],[Dual Listing]]=1,Table13232[[#This Row],[Nat and Combo Bet]],11)))</f>
        <v>100</v>
      </c>
      <c r="S609" s="50" t="str">
        <f t="shared" si="28"/>
        <v/>
      </c>
      <c r="T609" s="50">
        <f t="shared" si="29"/>
        <v>-100</v>
      </c>
      <c r="U609" s="50" t="str">
        <f>IF(Table13232[[#This Row],[Date]]&lt;$U$4,"","Live")</f>
        <v>Live</v>
      </c>
      <c r="V609" s="45" t="str">
        <f>TEXT(Table13232[[#This Row],[Date]],"DDD")</f>
        <v>Tue</v>
      </c>
      <c r="W609" s="45" t="str">
        <f>PROPER(TRIM(Table13232[[#This Row],[Horse]]))</f>
        <v>Ndola</v>
      </c>
    </row>
    <row r="610" spans="1:23" x14ac:dyDescent="0.25">
      <c r="A610" s="43">
        <v>45965</v>
      </c>
      <c r="B610" s="44">
        <v>0.72569444444444442</v>
      </c>
      <c r="C610" s="44" t="s">
        <v>76</v>
      </c>
      <c r="D610" s="45">
        <v>10</v>
      </c>
      <c r="E610" s="45">
        <v>12</v>
      </c>
      <c r="F610" s="46" t="s">
        <v>323</v>
      </c>
      <c r="G610" s="46" t="s">
        <v>21</v>
      </c>
      <c r="H610" s="47">
        <v>5</v>
      </c>
      <c r="I610" s="52" t="s">
        <v>297</v>
      </c>
      <c r="J610" s="45" t="str">
        <f>VLOOKUP(Table13232[[#This Row],[Track]],$C$836:$E$882,2,FALSE)</f>
        <v>Vic</v>
      </c>
      <c r="K610" s="49">
        <v>100</v>
      </c>
      <c r="L610" s="45">
        <f>IF(Table13232[[#This Row],[Fin]]&lt;&gt;"1st","",Table13232[[#This Row],[Div]]*Table13232[[#This Row],[Lev Bet]])</f>
        <v>500</v>
      </c>
      <c r="M610" s="45">
        <f>IF(Table13232[[#This Row],[Lev Ret]]="",Table13232[[#This Row],[Lev Bet]]*-1,L610-K610)</f>
        <v>400</v>
      </c>
      <c r="N610" s="135">
        <v>50</v>
      </c>
      <c r="O610" s="135">
        <f>IF(Table13232[[#This Row],[Fin]]&lt;&gt;"1st","",Table13232[[#This Row],[Div]]*Table13232[[#This Row],[Nat and Combo Bet]])</f>
        <v>250</v>
      </c>
      <c r="P610" s="135">
        <f>IF(Table13232[[#This Row],[Lev Ret]]="",Table13232[[#This Row],[Nat and Combo Bet]]*-1,O610-N610)</f>
        <v>200</v>
      </c>
      <c r="Q610" s="50">
        <f t="shared" si="27"/>
        <v>1</v>
      </c>
      <c r="R610" s="50">
        <f>IF(AND(Q609=2,Q610=1),"",IF(Q610=2,(N610+N611)/2,IF(Table13232[[#This Row],[Dual Listing]]=1,Table13232[[#This Row],[Nat and Combo Bet]],11)))</f>
        <v>50</v>
      </c>
      <c r="S610" s="50">
        <f t="shared" si="28"/>
        <v>250</v>
      </c>
      <c r="T610" s="50">
        <f t="shared" si="29"/>
        <v>200</v>
      </c>
      <c r="U610" s="50" t="str">
        <f>IF(Table13232[[#This Row],[Date]]&lt;$U$4,"","Live")</f>
        <v>Live</v>
      </c>
      <c r="V610" s="45" t="str">
        <f>TEXT(Table13232[[#This Row],[Date]],"DDD")</f>
        <v>Tue</v>
      </c>
      <c r="W610" s="45" t="str">
        <f>PROPER(TRIM(Table13232[[#This Row],[Horse]]))</f>
        <v>Persian Spirit</v>
      </c>
    </row>
    <row r="611" spans="1:23" x14ac:dyDescent="0.25">
      <c r="A611" s="43">
        <v>45967</v>
      </c>
      <c r="B611" s="44">
        <v>0.54166666666666663</v>
      </c>
      <c r="C611" s="44" t="s">
        <v>76</v>
      </c>
      <c r="D611" s="45">
        <v>1</v>
      </c>
      <c r="E611" s="45">
        <v>13</v>
      </c>
      <c r="F611" s="46" t="s">
        <v>335</v>
      </c>
      <c r="G611" s="46"/>
      <c r="H611" s="47"/>
      <c r="I611" s="47" t="s">
        <v>298</v>
      </c>
      <c r="J611" s="45" t="str">
        <f>VLOOKUP(Table13232[[#This Row],[Track]],$C$836:$E$882,2,FALSE)</f>
        <v>Vic</v>
      </c>
      <c r="K611" s="49">
        <v>100</v>
      </c>
      <c r="L611" s="45" t="str">
        <f>IF(Table13232[[#This Row],[Fin]]&lt;&gt;"1st","",Table13232[[#This Row],[Div]]*Table13232[[#This Row],[Lev Bet]])</f>
        <v/>
      </c>
      <c r="M611" s="45">
        <f>IF(Table13232[[#This Row],[Lev Ret]]="",Table13232[[#This Row],[Lev Bet]]*-1,L611-K611)</f>
        <v>-100</v>
      </c>
      <c r="N611" s="135">
        <v>100</v>
      </c>
      <c r="O611" s="135" t="str">
        <f>IF(Table13232[[#This Row],[Fin]]&lt;&gt;"1st","",Table13232[[#This Row],[Div]]*Table13232[[#This Row],[Nat and Combo Bet]])</f>
        <v/>
      </c>
      <c r="P611" s="135">
        <f>IF(Table13232[[#This Row],[Lev Ret]]="",Table13232[[#This Row],[Nat and Combo Bet]]*-1,O611-N611)</f>
        <v>-100</v>
      </c>
      <c r="Q611" s="50">
        <f t="shared" si="27"/>
        <v>1</v>
      </c>
      <c r="R611" s="50">
        <f>IF(AND(Q610=2,Q611=1),"",IF(Q611=2,(N611+N612)/2,IF(Table13232[[#This Row],[Dual Listing]]=1,Table13232[[#This Row],[Nat and Combo Bet]],11)))</f>
        <v>100</v>
      </c>
      <c r="S611" s="50" t="str">
        <f t="shared" si="28"/>
        <v/>
      </c>
      <c r="T611" s="50">
        <f t="shared" si="29"/>
        <v>-100</v>
      </c>
      <c r="U611" s="50" t="str">
        <f>IF(Table13232[[#This Row],[Date]]&lt;$U$4,"","Live")</f>
        <v>Live</v>
      </c>
      <c r="V611" s="45" t="str">
        <f>TEXT(Table13232[[#This Row],[Date]],"DDD")</f>
        <v>Thu</v>
      </c>
      <c r="W611" s="45" t="str">
        <f>PROPER(TRIM(Table13232[[#This Row],[Horse]]))</f>
        <v>House Of Lords</v>
      </c>
    </row>
    <row r="612" spans="1:23" x14ac:dyDescent="0.25">
      <c r="A612" s="43">
        <v>45967</v>
      </c>
      <c r="B612" s="44">
        <v>0.59027777777777779</v>
      </c>
      <c r="C612" s="44" t="s">
        <v>76</v>
      </c>
      <c r="D612" s="45">
        <v>3</v>
      </c>
      <c r="E612" s="45">
        <v>2</v>
      </c>
      <c r="F612" s="46" t="s">
        <v>336</v>
      </c>
      <c r="G612" s="46" t="s">
        <v>21</v>
      </c>
      <c r="H612" s="47">
        <v>4</v>
      </c>
      <c r="I612" s="47" t="s">
        <v>298</v>
      </c>
      <c r="J612" s="45" t="str">
        <f>VLOOKUP(Table13232[[#This Row],[Track]],$C$836:$E$882,2,FALSE)</f>
        <v>Vic</v>
      </c>
      <c r="K612" s="49">
        <v>100</v>
      </c>
      <c r="L612" s="45">
        <f>IF(Table13232[[#This Row],[Fin]]&lt;&gt;"1st","",Table13232[[#This Row],[Div]]*Table13232[[#This Row],[Lev Bet]])</f>
        <v>400</v>
      </c>
      <c r="M612" s="45">
        <f>IF(Table13232[[#This Row],[Lev Ret]]="",Table13232[[#This Row],[Lev Bet]]*-1,L612-K612)</f>
        <v>300</v>
      </c>
      <c r="N612" s="135">
        <v>100</v>
      </c>
      <c r="O612" s="135">
        <f>IF(Table13232[[#This Row],[Fin]]&lt;&gt;"1st","",Table13232[[#This Row],[Div]]*Table13232[[#This Row],[Nat and Combo Bet]])</f>
        <v>400</v>
      </c>
      <c r="P612" s="135">
        <f>IF(Table13232[[#This Row],[Lev Ret]]="",Table13232[[#This Row],[Nat and Combo Bet]]*-1,O612-N612)</f>
        <v>300</v>
      </c>
      <c r="Q612" s="50">
        <f t="shared" si="27"/>
        <v>1</v>
      </c>
      <c r="R612" s="50">
        <f>IF(AND(Q611=2,Q612=1),"",IF(Q612=2,(N612+N613)/2,IF(Table13232[[#This Row],[Dual Listing]]=1,Table13232[[#This Row],[Nat and Combo Bet]],11)))</f>
        <v>100</v>
      </c>
      <c r="S612" s="50">
        <f t="shared" si="28"/>
        <v>400</v>
      </c>
      <c r="T612" s="50">
        <f t="shared" si="29"/>
        <v>300</v>
      </c>
      <c r="U612" s="50" t="str">
        <f>IF(Table13232[[#This Row],[Date]]&lt;$U$4,"","Live")</f>
        <v>Live</v>
      </c>
      <c r="V612" s="45" t="str">
        <f>TEXT(Table13232[[#This Row],[Date]],"DDD")</f>
        <v>Thu</v>
      </c>
      <c r="W612" s="45" t="str">
        <f>PROPER(TRIM(Table13232[[#This Row],[Horse]]))</f>
        <v>Verona Rose</v>
      </c>
    </row>
    <row r="613" spans="1:23" x14ac:dyDescent="0.25">
      <c r="A613" s="43">
        <v>45967</v>
      </c>
      <c r="B613" s="44">
        <v>0.61458333333333337</v>
      </c>
      <c r="C613" s="44" t="s">
        <v>76</v>
      </c>
      <c r="D613" s="45">
        <v>4</v>
      </c>
      <c r="E613" s="45">
        <v>11</v>
      </c>
      <c r="F613" s="46" t="s">
        <v>337</v>
      </c>
      <c r="G613" s="46"/>
      <c r="H613" s="47"/>
      <c r="I613" s="47" t="s">
        <v>298</v>
      </c>
      <c r="J613" s="45" t="str">
        <f>VLOOKUP(Table13232[[#This Row],[Track]],$C$836:$E$882,2,FALSE)</f>
        <v>Vic</v>
      </c>
      <c r="K613" s="49">
        <v>100</v>
      </c>
      <c r="L613" s="45" t="str">
        <f>IF(Table13232[[#This Row],[Fin]]&lt;&gt;"1st","",Table13232[[#This Row],[Div]]*Table13232[[#This Row],[Lev Bet]])</f>
        <v/>
      </c>
      <c r="M613" s="45">
        <f>IF(Table13232[[#This Row],[Lev Ret]]="",Table13232[[#This Row],[Lev Bet]]*-1,L613-K613)</f>
        <v>-100</v>
      </c>
      <c r="N613" s="135">
        <v>200</v>
      </c>
      <c r="O613" s="135" t="str">
        <f>IF(Table13232[[#This Row],[Fin]]&lt;&gt;"1st","",Table13232[[#This Row],[Div]]*Table13232[[#This Row],[Nat and Combo Bet]])</f>
        <v/>
      </c>
      <c r="P613" s="135">
        <f>IF(Table13232[[#This Row],[Lev Ret]]="",Table13232[[#This Row],[Nat and Combo Bet]]*-1,O613-N613)</f>
        <v>-200</v>
      </c>
      <c r="Q613" s="50">
        <f t="shared" si="27"/>
        <v>1</v>
      </c>
      <c r="R613" s="50">
        <f>IF(AND(Q612=2,Q613=1),"",IF(Q613=2,(N613+N614)/2,IF(Table13232[[#This Row],[Dual Listing]]=1,Table13232[[#This Row],[Nat and Combo Bet]],11)))</f>
        <v>200</v>
      </c>
      <c r="S613" s="50" t="str">
        <f t="shared" si="28"/>
        <v/>
      </c>
      <c r="T613" s="50">
        <f t="shared" si="29"/>
        <v>-200</v>
      </c>
      <c r="U613" s="50" t="str">
        <f>IF(Table13232[[#This Row],[Date]]&lt;$U$4,"","Live")</f>
        <v>Live</v>
      </c>
      <c r="V613" s="45" t="str">
        <f>TEXT(Table13232[[#This Row],[Date]],"DDD")</f>
        <v>Thu</v>
      </c>
      <c r="W613" s="45" t="str">
        <f>PROPER(TRIM(Table13232[[#This Row],[Horse]]))</f>
        <v>Shockletz</v>
      </c>
    </row>
    <row r="614" spans="1:23" x14ac:dyDescent="0.25">
      <c r="A614" s="43">
        <v>45967</v>
      </c>
      <c r="B614" s="44">
        <v>0.63888888888888884</v>
      </c>
      <c r="C614" s="44" t="s">
        <v>76</v>
      </c>
      <c r="D614" s="45">
        <v>5</v>
      </c>
      <c r="E614" s="45">
        <v>10</v>
      </c>
      <c r="F614" s="46" t="s">
        <v>338</v>
      </c>
      <c r="G614" s="46"/>
      <c r="H614" s="47"/>
      <c r="I614" s="47" t="s">
        <v>298</v>
      </c>
      <c r="J614" s="45" t="str">
        <f>VLOOKUP(Table13232[[#This Row],[Track]],$C$836:$E$882,2,FALSE)</f>
        <v>Vic</v>
      </c>
      <c r="K614" s="49">
        <v>100</v>
      </c>
      <c r="L614" s="45" t="str">
        <f>IF(Table13232[[#This Row],[Fin]]&lt;&gt;"1st","",Table13232[[#This Row],[Div]]*Table13232[[#This Row],[Lev Bet]])</f>
        <v/>
      </c>
      <c r="M614" s="45">
        <f>IF(Table13232[[#This Row],[Lev Ret]]="",Table13232[[#This Row],[Lev Bet]]*-1,L614-K614)</f>
        <v>-100</v>
      </c>
      <c r="N614" s="135">
        <v>100</v>
      </c>
      <c r="O614" s="135" t="str">
        <f>IF(Table13232[[#This Row],[Fin]]&lt;&gt;"1st","",Table13232[[#This Row],[Div]]*Table13232[[#This Row],[Nat and Combo Bet]])</f>
        <v/>
      </c>
      <c r="P614" s="135">
        <f>IF(Table13232[[#This Row],[Lev Ret]]="",Table13232[[#This Row],[Nat and Combo Bet]]*-1,O614-N614)</f>
        <v>-100</v>
      </c>
      <c r="Q614" s="50">
        <f t="shared" si="27"/>
        <v>1</v>
      </c>
      <c r="R614" s="50">
        <f>IF(AND(Q613=2,Q614=1),"",IF(Q614=2,(N614+N615)/2,IF(Table13232[[#This Row],[Dual Listing]]=1,Table13232[[#This Row],[Nat and Combo Bet]],11)))</f>
        <v>100</v>
      </c>
      <c r="S614" s="50" t="str">
        <f t="shared" si="28"/>
        <v/>
      </c>
      <c r="T614" s="50">
        <f t="shared" si="29"/>
        <v>-100</v>
      </c>
      <c r="U614" s="50" t="str">
        <f>IF(Table13232[[#This Row],[Date]]&lt;$U$4,"","Live")</f>
        <v>Live</v>
      </c>
      <c r="V614" s="45" t="str">
        <f>TEXT(Table13232[[#This Row],[Date]],"DDD")</f>
        <v>Thu</v>
      </c>
      <c r="W614" s="45" t="str">
        <f>PROPER(TRIM(Table13232[[#This Row],[Horse]]))</f>
        <v>Enxuto</v>
      </c>
    </row>
    <row r="615" spans="1:23" x14ac:dyDescent="0.25">
      <c r="A615" s="43">
        <v>45967</v>
      </c>
      <c r="B615" s="44">
        <v>0.63888888888888884</v>
      </c>
      <c r="C615" s="44" t="s">
        <v>76</v>
      </c>
      <c r="D615" s="45">
        <v>5</v>
      </c>
      <c r="E615" s="45">
        <v>6</v>
      </c>
      <c r="F615" s="46" t="s">
        <v>78</v>
      </c>
      <c r="G615" s="46"/>
      <c r="H615" s="47"/>
      <c r="I615" s="52" t="s">
        <v>297</v>
      </c>
      <c r="J615" s="45" t="str">
        <f>VLOOKUP(Table13232[[#This Row],[Track]],$C$836:$E$882,2,FALSE)</f>
        <v>Vic</v>
      </c>
      <c r="K615" s="49">
        <v>100</v>
      </c>
      <c r="L615" s="45" t="str">
        <f>IF(Table13232[[#This Row],[Fin]]&lt;&gt;"1st","",Table13232[[#This Row],[Div]]*Table13232[[#This Row],[Lev Bet]])</f>
        <v/>
      </c>
      <c r="M615" s="45">
        <f>IF(Table13232[[#This Row],[Lev Ret]]="",Table13232[[#This Row],[Lev Bet]]*-1,L615-K615)</f>
        <v>-100</v>
      </c>
      <c r="N615" s="135">
        <v>100</v>
      </c>
      <c r="O615" s="135" t="str">
        <f>IF(Table13232[[#This Row],[Fin]]&lt;&gt;"1st","",Table13232[[#This Row],[Div]]*Table13232[[#This Row],[Nat and Combo Bet]])</f>
        <v/>
      </c>
      <c r="P615" s="135">
        <f>IF(Table13232[[#This Row],[Lev Ret]]="",Table13232[[#This Row],[Nat and Combo Bet]]*-1,O615-N615)</f>
        <v>-100</v>
      </c>
      <c r="Q615" s="50">
        <f t="shared" si="27"/>
        <v>1</v>
      </c>
      <c r="R615" s="50">
        <f>IF(AND(Q614=2,Q615=1),"",IF(Q615=2,(N615+N616)/2,IF(Table13232[[#This Row],[Dual Listing]]=1,Table13232[[#This Row],[Nat and Combo Bet]],11)))</f>
        <v>100</v>
      </c>
      <c r="S615" s="50" t="str">
        <f t="shared" si="28"/>
        <v/>
      </c>
      <c r="T615" s="50">
        <f t="shared" si="29"/>
        <v>-100</v>
      </c>
      <c r="U615" s="50" t="str">
        <f>IF(Table13232[[#This Row],[Date]]&lt;$U$4,"","Live")</f>
        <v>Live</v>
      </c>
      <c r="V615" s="45" t="str">
        <f>TEXT(Table13232[[#This Row],[Date]],"DDD")</f>
        <v>Thu</v>
      </c>
      <c r="W615" s="45" t="str">
        <f>PROPER(TRIM(Table13232[[#This Row],[Horse]]))</f>
        <v>Oh Too Good</v>
      </c>
    </row>
    <row r="616" spans="1:23" x14ac:dyDescent="0.25">
      <c r="A616" s="43">
        <v>45967</v>
      </c>
      <c r="B616" s="44">
        <v>0.63888888888888884</v>
      </c>
      <c r="C616" s="44" t="s">
        <v>76</v>
      </c>
      <c r="D616" s="45">
        <v>5</v>
      </c>
      <c r="E616" s="45">
        <v>8</v>
      </c>
      <c r="F616" s="46" t="s">
        <v>144</v>
      </c>
      <c r="G616" s="46" t="s">
        <v>22</v>
      </c>
      <c r="H616" s="47"/>
      <c r="I616" s="52" t="s">
        <v>297</v>
      </c>
      <c r="J616" s="45" t="str">
        <f>VLOOKUP(Table13232[[#This Row],[Track]],$C$836:$E$882,2,FALSE)</f>
        <v>Vic</v>
      </c>
      <c r="K616" s="49">
        <v>100</v>
      </c>
      <c r="L616" s="45" t="str">
        <f>IF(Table13232[[#This Row],[Fin]]&lt;&gt;"1st","",Table13232[[#This Row],[Div]]*Table13232[[#This Row],[Lev Bet]])</f>
        <v/>
      </c>
      <c r="M616" s="45">
        <f>IF(Table13232[[#This Row],[Lev Ret]]="",Table13232[[#This Row],[Lev Bet]]*-1,L616-K616)</f>
        <v>-100</v>
      </c>
      <c r="N616" s="135">
        <v>100</v>
      </c>
      <c r="O616" s="135" t="str">
        <f>IF(Table13232[[#This Row],[Fin]]&lt;&gt;"1st","",Table13232[[#This Row],[Div]]*Table13232[[#This Row],[Nat and Combo Bet]])</f>
        <v/>
      </c>
      <c r="P616" s="135">
        <f>IF(Table13232[[#This Row],[Lev Ret]]="",Table13232[[#This Row],[Nat and Combo Bet]]*-1,O616-N616)</f>
        <v>-100</v>
      </c>
      <c r="Q616" s="50">
        <f t="shared" si="27"/>
        <v>1</v>
      </c>
      <c r="R616" s="50">
        <f>IF(AND(Q615=2,Q616=1),"",IF(Q616=2,(N616+N617)/2,IF(Table13232[[#This Row],[Dual Listing]]=1,Table13232[[#This Row],[Nat and Combo Bet]],11)))</f>
        <v>100</v>
      </c>
      <c r="S616" s="50" t="str">
        <f t="shared" si="28"/>
        <v/>
      </c>
      <c r="T616" s="50">
        <f t="shared" si="29"/>
        <v>-100</v>
      </c>
      <c r="U616" s="50" t="str">
        <f>IF(Table13232[[#This Row],[Date]]&lt;$U$4,"","Live")</f>
        <v>Live</v>
      </c>
      <c r="V616" s="45" t="str">
        <f>TEXT(Table13232[[#This Row],[Date]],"DDD")</f>
        <v>Thu</v>
      </c>
      <c r="W616" s="45" t="str">
        <f>PROPER(TRIM(Table13232[[#This Row],[Horse]]))</f>
        <v>Poison Chalice</v>
      </c>
    </row>
    <row r="617" spans="1:23" x14ac:dyDescent="0.25">
      <c r="A617" s="43">
        <v>45967</v>
      </c>
      <c r="B617" s="44">
        <v>0.78472222222222199</v>
      </c>
      <c r="C617" s="44" t="s">
        <v>76</v>
      </c>
      <c r="D617" s="45">
        <v>9</v>
      </c>
      <c r="E617" s="45">
        <v>8</v>
      </c>
      <c r="F617" s="46" t="s">
        <v>324</v>
      </c>
      <c r="G617" s="46" t="s">
        <v>23</v>
      </c>
      <c r="H617" s="47"/>
      <c r="I617" s="52" t="s">
        <v>297</v>
      </c>
      <c r="J617" s="45" t="str">
        <f>VLOOKUP(Table13232[[#This Row],[Track]],$C$836:$E$882,2,FALSE)</f>
        <v>Vic</v>
      </c>
      <c r="K617" s="49">
        <v>100</v>
      </c>
      <c r="L617" s="45" t="str">
        <f>IF(Table13232[[#This Row],[Fin]]&lt;&gt;"1st","",Table13232[[#This Row],[Div]]*Table13232[[#This Row],[Lev Bet]])</f>
        <v/>
      </c>
      <c r="M617" s="45">
        <f>IF(Table13232[[#This Row],[Lev Ret]]="",Table13232[[#This Row],[Lev Bet]]*-1,L617-K617)</f>
        <v>-100</v>
      </c>
      <c r="N617" s="135">
        <v>50</v>
      </c>
      <c r="O617" s="135" t="str">
        <f>IF(Table13232[[#This Row],[Fin]]&lt;&gt;"1st","",Table13232[[#This Row],[Div]]*Table13232[[#This Row],[Nat and Combo Bet]])</f>
        <v/>
      </c>
      <c r="P617" s="135">
        <f>IF(Table13232[[#This Row],[Lev Ret]]="",Table13232[[#This Row],[Nat and Combo Bet]]*-1,O617-N617)</f>
        <v>-50</v>
      </c>
      <c r="Q617" s="50">
        <f t="shared" si="27"/>
        <v>1</v>
      </c>
      <c r="R617" s="50">
        <f>IF(AND(Q616=2,Q617=1),"",IF(Q617=2,(N617+N618)/2,IF(Table13232[[#This Row],[Dual Listing]]=1,Table13232[[#This Row],[Nat and Combo Bet]],11)))</f>
        <v>50</v>
      </c>
      <c r="S617" s="50" t="str">
        <f t="shared" si="28"/>
        <v/>
      </c>
      <c r="T617" s="50">
        <f t="shared" si="29"/>
        <v>-50</v>
      </c>
      <c r="U617" s="50" t="str">
        <f>IF(Table13232[[#This Row],[Date]]&lt;$U$4,"","Live")</f>
        <v>Live</v>
      </c>
      <c r="V617" s="45" t="str">
        <f>TEXT(Table13232[[#This Row],[Date]],"DDD")</f>
        <v>Thu</v>
      </c>
      <c r="W617" s="45" t="str">
        <f>PROPER(TRIM(Table13232[[#This Row],[Horse]]))</f>
        <v>Major Share</v>
      </c>
    </row>
    <row r="618" spans="1:23" x14ac:dyDescent="0.25">
      <c r="A618" s="43">
        <v>45969</v>
      </c>
      <c r="B618" s="44">
        <v>0.52222222222222225</v>
      </c>
      <c r="C618" s="44" t="s">
        <v>12</v>
      </c>
      <c r="D618" s="45">
        <v>1</v>
      </c>
      <c r="E618" s="45">
        <v>4</v>
      </c>
      <c r="F618" s="46" t="s">
        <v>339</v>
      </c>
      <c r="G618" s="46"/>
      <c r="H618" s="47"/>
      <c r="I618" s="47" t="s">
        <v>298</v>
      </c>
      <c r="J618" s="45" t="str">
        <f>VLOOKUP(Table13232[[#This Row],[Track]],$C$836:$E$882,2,FALSE)</f>
        <v>Qld</v>
      </c>
      <c r="K618" s="49">
        <v>100</v>
      </c>
      <c r="L618" s="45" t="str">
        <f>IF(Table13232[[#This Row],[Fin]]&lt;&gt;"1st","",Table13232[[#This Row],[Div]]*Table13232[[#This Row],[Lev Bet]])</f>
        <v/>
      </c>
      <c r="M618" s="45">
        <f>IF(Table13232[[#This Row],[Lev Ret]]="",Table13232[[#This Row],[Lev Bet]]*-1,L618-K618)</f>
        <v>-100</v>
      </c>
      <c r="N618" s="135">
        <v>100</v>
      </c>
      <c r="O618" s="135" t="str">
        <f>IF(Table13232[[#This Row],[Fin]]&lt;&gt;"1st","",Table13232[[#This Row],[Div]]*Table13232[[#This Row],[Nat and Combo Bet]])</f>
        <v/>
      </c>
      <c r="P618" s="135">
        <f>IF(Table13232[[#This Row],[Lev Ret]]="",Table13232[[#This Row],[Nat and Combo Bet]]*-1,O618-N618)</f>
        <v>-100</v>
      </c>
      <c r="Q618" s="50">
        <f t="shared" si="27"/>
        <v>1</v>
      </c>
      <c r="R618" s="50">
        <f>IF(AND(Q617=2,Q618=1),"",IF(Q618=2,(N618+N619)/2,IF(Table13232[[#This Row],[Dual Listing]]=1,Table13232[[#This Row],[Nat and Combo Bet]],11)))</f>
        <v>100</v>
      </c>
      <c r="S618" s="50" t="str">
        <f t="shared" si="28"/>
        <v/>
      </c>
      <c r="T618" s="50">
        <f t="shared" si="29"/>
        <v>-100</v>
      </c>
      <c r="U618" s="50" t="str">
        <f>IF(Table13232[[#This Row],[Date]]&lt;$U$4,"","Live")</f>
        <v>Live</v>
      </c>
      <c r="V618" s="45" t="str">
        <f>TEXT(Table13232[[#This Row],[Date]],"DDD")</f>
        <v>Sat</v>
      </c>
      <c r="W618" s="45" t="str">
        <f>PROPER(TRIM(Table13232[[#This Row],[Horse]]))</f>
        <v>Kinross Lane</v>
      </c>
    </row>
    <row r="619" spans="1:23" x14ac:dyDescent="0.25">
      <c r="A619" s="43">
        <v>45969</v>
      </c>
      <c r="B619" s="44">
        <v>0.55208333333333337</v>
      </c>
      <c r="C619" s="44" t="s">
        <v>76</v>
      </c>
      <c r="D619" s="45">
        <v>2</v>
      </c>
      <c r="E619" s="45">
        <v>2</v>
      </c>
      <c r="F619" s="46" t="s">
        <v>340</v>
      </c>
      <c r="G619" s="46" t="s">
        <v>21</v>
      </c>
      <c r="H619" s="47">
        <v>2.8</v>
      </c>
      <c r="I619" s="47" t="s">
        <v>298</v>
      </c>
      <c r="J619" s="45" t="str">
        <f>VLOOKUP(Table13232[[#This Row],[Track]],$C$836:$E$882,2,FALSE)</f>
        <v>Vic</v>
      </c>
      <c r="K619" s="49">
        <v>100</v>
      </c>
      <c r="L619" s="45">
        <f>IF(Table13232[[#This Row],[Fin]]&lt;&gt;"1st","",Table13232[[#This Row],[Div]]*Table13232[[#This Row],[Lev Bet]])</f>
        <v>280</v>
      </c>
      <c r="M619" s="45">
        <f>IF(Table13232[[#This Row],[Lev Ret]]="",Table13232[[#This Row],[Lev Bet]]*-1,L619-K619)</f>
        <v>180</v>
      </c>
      <c r="N619" s="135">
        <v>100</v>
      </c>
      <c r="O619" s="135">
        <f>IF(Table13232[[#This Row],[Fin]]&lt;&gt;"1st","",Table13232[[#This Row],[Div]]*Table13232[[#This Row],[Nat and Combo Bet]])</f>
        <v>280</v>
      </c>
      <c r="P619" s="135">
        <f>IF(Table13232[[#This Row],[Lev Ret]]="",Table13232[[#This Row],[Nat and Combo Bet]]*-1,O619-N619)</f>
        <v>180</v>
      </c>
      <c r="Q619" s="50">
        <f t="shared" si="27"/>
        <v>1</v>
      </c>
      <c r="R619" s="50">
        <f>IF(AND(Q618=2,Q619=1),"",IF(Q619=2,(N619+N620)/2,IF(Table13232[[#This Row],[Dual Listing]]=1,Table13232[[#This Row],[Nat and Combo Bet]],11)))</f>
        <v>100</v>
      </c>
      <c r="S619" s="50">
        <f t="shared" si="28"/>
        <v>280</v>
      </c>
      <c r="T619" s="50">
        <f t="shared" si="29"/>
        <v>180</v>
      </c>
      <c r="U619" s="50" t="str">
        <f>IF(Table13232[[#This Row],[Date]]&lt;$U$4,"","Live")</f>
        <v>Live</v>
      </c>
      <c r="V619" s="45" t="str">
        <f>TEXT(Table13232[[#This Row],[Date]],"DDD")</f>
        <v>Sat</v>
      </c>
      <c r="W619" s="45" t="str">
        <f>PROPER(TRIM(Table13232[[#This Row],[Horse]]))</f>
        <v>Sabaj</v>
      </c>
    </row>
    <row r="620" spans="1:23" x14ac:dyDescent="0.25">
      <c r="A620" s="43">
        <v>45969</v>
      </c>
      <c r="B620" s="44">
        <v>0.56597222222222221</v>
      </c>
      <c r="C620" s="44" t="s">
        <v>11</v>
      </c>
      <c r="D620" s="45">
        <v>3</v>
      </c>
      <c r="E620" s="45">
        <v>10</v>
      </c>
      <c r="F620" s="46" t="s">
        <v>325</v>
      </c>
      <c r="G620" s="46"/>
      <c r="H620" s="47"/>
      <c r="I620" s="52" t="s">
        <v>297</v>
      </c>
      <c r="J620" s="45" t="str">
        <f>VLOOKUP(Table13232[[#This Row],[Track]],$C$836:$E$882,2,FALSE)</f>
        <v>NSW</v>
      </c>
      <c r="K620" s="49">
        <v>100</v>
      </c>
      <c r="L620" s="45" t="str">
        <f>IF(Table13232[[#This Row],[Fin]]&lt;&gt;"1st","",Table13232[[#This Row],[Div]]*Table13232[[#This Row],[Lev Bet]])</f>
        <v/>
      </c>
      <c r="M620" s="45">
        <f>IF(Table13232[[#This Row],[Lev Ret]]="",Table13232[[#This Row],[Lev Bet]]*-1,L620-K620)</f>
        <v>-100</v>
      </c>
      <c r="N620" s="135">
        <v>100</v>
      </c>
      <c r="O620" s="135" t="str">
        <f>IF(Table13232[[#This Row],[Fin]]&lt;&gt;"1st","",Table13232[[#This Row],[Div]]*Table13232[[#This Row],[Nat and Combo Bet]])</f>
        <v/>
      </c>
      <c r="P620" s="135">
        <f>IF(Table13232[[#This Row],[Lev Ret]]="",Table13232[[#This Row],[Nat and Combo Bet]]*-1,O620-N620)</f>
        <v>-100</v>
      </c>
      <c r="Q620" s="50">
        <f t="shared" si="27"/>
        <v>1</v>
      </c>
      <c r="R620" s="50">
        <f>IF(AND(Q619=2,Q620=1),"",IF(Q620=2,(N620+N621)/2,IF(Table13232[[#This Row],[Dual Listing]]=1,Table13232[[#This Row],[Nat and Combo Bet]],11)))</f>
        <v>100</v>
      </c>
      <c r="S620" s="50" t="str">
        <f t="shared" si="28"/>
        <v/>
      </c>
      <c r="T620" s="50">
        <f t="shared" si="29"/>
        <v>-100</v>
      </c>
      <c r="U620" s="50" t="str">
        <f>IF(Table13232[[#This Row],[Date]]&lt;$U$4,"","Live")</f>
        <v>Live</v>
      </c>
      <c r="V620" s="45" t="str">
        <f>TEXT(Table13232[[#This Row],[Date]],"DDD")</f>
        <v>Sat</v>
      </c>
      <c r="W620" s="45" t="str">
        <f>PROPER(TRIM(Table13232[[#This Row],[Horse]]))</f>
        <v>Presley</v>
      </c>
    </row>
    <row r="621" spans="1:23" x14ac:dyDescent="0.25">
      <c r="A621" s="43">
        <v>45969</v>
      </c>
      <c r="B621" s="44">
        <v>0.5708333333333333</v>
      </c>
      <c r="C621" s="44" t="s">
        <v>12</v>
      </c>
      <c r="D621" s="45">
        <v>3</v>
      </c>
      <c r="E621" s="45">
        <v>1</v>
      </c>
      <c r="F621" s="46" t="s">
        <v>341</v>
      </c>
      <c r="G621" s="46" t="s">
        <v>23</v>
      </c>
      <c r="H621" s="47"/>
      <c r="I621" s="47" t="s">
        <v>298</v>
      </c>
      <c r="J621" s="45" t="str">
        <f>VLOOKUP(Table13232[[#This Row],[Track]],$C$836:$E$882,2,FALSE)</f>
        <v>Qld</v>
      </c>
      <c r="K621" s="49">
        <v>100</v>
      </c>
      <c r="L621" s="45" t="str">
        <f>IF(Table13232[[#This Row],[Fin]]&lt;&gt;"1st","",Table13232[[#This Row],[Div]]*Table13232[[#This Row],[Lev Bet]])</f>
        <v/>
      </c>
      <c r="M621" s="45">
        <f>IF(Table13232[[#This Row],[Lev Ret]]="",Table13232[[#This Row],[Lev Bet]]*-1,L621-K621)</f>
        <v>-100</v>
      </c>
      <c r="N621" s="135">
        <v>100</v>
      </c>
      <c r="O621" s="135" t="str">
        <f>IF(Table13232[[#This Row],[Fin]]&lt;&gt;"1st","",Table13232[[#This Row],[Div]]*Table13232[[#This Row],[Nat and Combo Bet]])</f>
        <v/>
      </c>
      <c r="P621" s="135">
        <f>IF(Table13232[[#This Row],[Lev Ret]]="",Table13232[[#This Row],[Nat and Combo Bet]]*-1,O621-N621)</f>
        <v>-100</v>
      </c>
      <c r="Q621" s="50">
        <f t="shared" si="27"/>
        <v>1</v>
      </c>
      <c r="R621" s="50">
        <f>IF(AND(Q620=2,Q621=1),"",IF(Q621=2,(N621+N622)/2,IF(Table13232[[#This Row],[Dual Listing]]=1,Table13232[[#This Row],[Nat and Combo Bet]],11)))</f>
        <v>100</v>
      </c>
      <c r="S621" s="50" t="str">
        <f t="shared" si="28"/>
        <v/>
      </c>
      <c r="T621" s="50">
        <f t="shared" si="29"/>
        <v>-100</v>
      </c>
      <c r="U621" s="50" t="str">
        <f>IF(Table13232[[#This Row],[Date]]&lt;$U$4,"","Live")</f>
        <v>Live</v>
      </c>
      <c r="V621" s="45" t="str">
        <f>TEXT(Table13232[[#This Row],[Date]],"DDD")</f>
        <v>Sat</v>
      </c>
      <c r="W621" s="45" t="str">
        <f>PROPER(TRIM(Table13232[[#This Row],[Horse]]))</f>
        <v>First Mission</v>
      </c>
    </row>
    <row r="622" spans="1:23" x14ac:dyDescent="0.25">
      <c r="A622" s="43">
        <v>45969</v>
      </c>
      <c r="B622" s="44">
        <v>0.57638888888888884</v>
      </c>
      <c r="C622" s="44" t="s">
        <v>76</v>
      </c>
      <c r="D622" s="45">
        <v>3</v>
      </c>
      <c r="E622" s="45">
        <v>15</v>
      </c>
      <c r="F622" s="46" t="s">
        <v>150</v>
      </c>
      <c r="G622" s="46" t="s">
        <v>22</v>
      </c>
      <c r="H622" s="47"/>
      <c r="I622" s="52" t="s">
        <v>297</v>
      </c>
      <c r="J622" s="45" t="str">
        <f>VLOOKUP(Table13232[[#This Row],[Track]],$C$836:$E$882,2,FALSE)</f>
        <v>Vic</v>
      </c>
      <c r="K622" s="49">
        <v>100</v>
      </c>
      <c r="L622" s="45" t="str">
        <f>IF(Table13232[[#This Row],[Fin]]&lt;&gt;"1st","",Table13232[[#This Row],[Div]]*Table13232[[#This Row],[Lev Bet]])</f>
        <v/>
      </c>
      <c r="M622" s="45">
        <f>IF(Table13232[[#This Row],[Lev Ret]]="",Table13232[[#This Row],[Lev Bet]]*-1,L622-K622)</f>
        <v>-100</v>
      </c>
      <c r="N622" s="135">
        <v>100</v>
      </c>
      <c r="O622" s="135" t="str">
        <f>IF(Table13232[[#This Row],[Fin]]&lt;&gt;"1st","",Table13232[[#This Row],[Div]]*Table13232[[#This Row],[Nat and Combo Bet]])</f>
        <v/>
      </c>
      <c r="P622" s="135">
        <f>IF(Table13232[[#This Row],[Lev Ret]]="",Table13232[[#This Row],[Nat and Combo Bet]]*-1,O622-N622)</f>
        <v>-100</v>
      </c>
      <c r="Q622" s="50">
        <f t="shared" si="27"/>
        <v>1</v>
      </c>
      <c r="R622" s="50">
        <f>IF(AND(Q621=2,Q622=1),"",IF(Q622=2,(N622+N623)/2,IF(Table13232[[#This Row],[Dual Listing]]=1,Table13232[[#This Row],[Nat and Combo Bet]],11)))</f>
        <v>100</v>
      </c>
      <c r="S622" s="50" t="str">
        <f t="shared" si="28"/>
        <v/>
      </c>
      <c r="T622" s="50">
        <f t="shared" si="29"/>
        <v>-100</v>
      </c>
      <c r="U622" s="50" t="str">
        <f>IF(Table13232[[#This Row],[Date]]&lt;$U$4,"","Live")</f>
        <v>Live</v>
      </c>
      <c r="V622" s="45" t="str">
        <f>TEXT(Table13232[[#This Row],[Date]],"DDD")</f>
        <v>Sat</v>
      </c>
      <c r="W622" s="45" t="str">
        <f>PROPER(TRIM(Table13232[[#This Row],[Horse]]))</f>
        <v>Big Swinger</v>
      </c>
    </row>
    <row r="623" spans="1:23" x14ac:dyDescent="0.25">
      <c r="A623" s="43">
        <v>45969</v>
      </c>
      <c r="B623" s="44">
        <v>0.57638888888888884</v>
      </c>
      <c r="C623" s="44" t="s">
        <v>76</v>
      </c>
      <c r="D623" s="45">
        <v>3</v>
      </c>
      <c r="E623" s="45">
        <v>2</v>
      </c>
      <c r="F623" s="46" t="s">
        <v>342</v>
      </c>
      <c r="G623" s="46"/>
      <c r="H623" s="47"/>
      <c r="I623" s="47" t="s">
        <v>298</v>
      </c>
      <c r="J623" s="45" t="str">
        <f>VLOOKUP(Table13232[[#This Row],[Track]],$C$836:$E$882,2,FALSE)</f>
        <v>Vic</v>
      </c>
      <c r="K623" s="49">
        <v>100</v>
      </c>
      <c r="L623" s="45" t="str">
        <f>IF(Table13232[[#This Row],[Fin]]&lt;&gt;"1st","",Table13232[[#This Row],[Div]]*Table13232[[#This Row],[Lev Bet]])</f>
        <v/>
      </c>
      <c r="M623" s="45">
        <f>IF(Table13232[[#This Row],[Lev Ret]]="",Table13232[[#This Row],[Lev Bet]]*-1,L623-K623)</f>
        <v>-100</v>
      </c>
      <c r="N623" s="135">
        <v>100</v>
      </c>
      <c r="O623" s="135" t="str">
        <f>IF(Table13232[[#This Row],[Fin]]&lt;&gt;"1st","",Table13232[[#This Row],[Div]]*Table13232[[#This Row],[Nat and Combo Bet]])</f>
        <v/>
      </c>
      <c r="P623" s="135">
        <f>IF(Table13232[[#This Row],[Lev Ret]]="",Table13232[[#This Row],[Nat and Combo Bet]]*-1,O623-N623)</f>
        <v>-100</v>
      </c>
      <c r="Q623" s="50">
        <f t="shared" si="27"/>
        <v>1</v>
      </c>
      <c r="R623" s="50">
        <f>IF(AND(Q622=2,Q623=1),"",IF(Q623=2,(N623+N624)/2,IF(Table13232[[#This Row],[Dual Listing]]=1,Table13232[[#This Row],[Nat and Combo Bet]],11)))</f>
        <v>100</v>
      </c>
      <c r="S623" s="50" t="str">
        <f t="shared" si="28"/>
        <v/>
      </c>
      <c r="T623" s="50">
        <f t="shared" si="29"/>
        <v>-100</v>
      </c>
      <c r="U623" s="50" t="str">
        <f>IF(Table13232[[#This Row],[Date]]&lt;$U$4,"","Live")</f>
        <v>Live</v>
      </c>
      <c r="V623" s="45" t="str">
        <f>TEXT(Table13232[[#This Row],[Date]],"DDD")</f>
        <v>Sat</v>
      </c>
      <c r="W623" s="45" t="str">
        <f>PROPER(TRIM(Table13232[[#This Row],[Horse]]))</f>
        <v>Nadal</v>
      </c>
    </row>
    <row r="624" spans="1:23" x14ac:dyDescent="0.25">
      <c r="A624" s="43">
        <v>45969</v>
      </c>
      <c r="B624" s="44">
        <v>0.59027777777777779</v>
      </c>
      <c r="C624" s="44" t="s">
        <v>11</v>
      </c>
      <c r="D624" s="45">
        <v>4</v>
      </c>
      <c r="E624" s="45">
        <v>1</v>
      </c>
      <c r="F624" s="46" t="s">
        <v>136</v>
      </c>
      <c r="G624" s="46"/>
      <c r="H624" s="47"/>
      <c r="I624" s="52" t="s">
        <v>297</v>
      </c>
      <c r="J624" s="45" t="str">
        <f>VLOOKUP(Table13232[[#This Row],[Track]],$C$836:$E$882,2,FALSE)</f>
        <v>NSW</v>
      </c>
      <c r="K624" s="49">
        <v>100</v>
      </c>
      <c r="L624" s="45" t="str">
        <f>IF(Table13232[[#This Row],[Fin]]&lt;&gt;"1st","",Table13232[[#This Row],[Div]]*Table13232[[#This Row],[Lev Bet]])</f>
        <v/>
      </c>
      <c r="M624" s="45">
        <f>IF(Table13232[[#This Row],[Lev Ret]]="",Table13232[[#This Row],[Lev Bet]]*-1,L624-K624)</f>
        <v>-100</v>
      </c>
      <c r="N624" s="135">
        <v>150</v>
      </c>
      <c r="O624" s="135" t="str">
        <f>IF(Table13232[[#This Row],[Fin]]&lt;&gt;"1st","",Table13232[[#This Row],[Div]]*Table13232[[#This Row],[Nat and Combo Bet]])</f>
        <v/>
      </c>
      <c r="P624" s="135">
        <f>IF(Table13232[[#This Row],[Lev Ret]]="",Table13232[[#This Row],[Nat and Combo Bet]]*-1,O624-N624)</f>
        <v>-150</v>
      </c>
      <c r="Q624" s="50">
        <f t="shared" si="27"/>
        <v>1</v>
      </c>
      <c r="R624" s="50">
        <f>IF(AND(Q623=2,Q624=1),"",IF(Q624=2,(N624+N625)/2,IF(Table13232[[#This Row],[Dual Listing]]=1,Table13232[[#This Row],[Nat and Combo Bet]],11)))</f>
        <v>150</v>
      </c>
      <c r="S624" s="50" t="str">
        <f t="shared" si="28"/>
        <v/>
      </c>
      <c r="T624" s="50">
        <f t="shared" si="29"/>
        <v>-150</v>
      </c>
      <c r="U624" s="50" t="str">
        <f>IF(Table13232[[#This Row],[Date]]&lt;$U$4,"","Live")</f>
        <v>Live</v>
      </c>
      <c r="V624" s="45" t="str">
        <f>TEXT(Table13232[[#This Row],[Date]],"DDD")</f>
        <v>Sat</v>
      </c>
      <c r="W624" s="45" t="str">
        <f>PROPER(TRIM(Table13232[[#This Row],[Horse]]))</f>
        <v>Midnight Dynamite</v>
      </c>
    </row>
    <row r="625" spans="1:23" x14ac:dyDescent="0.25">
      <c r="A625" s="43">
        <v>45969</v>
      </c>
      <c r="B625" s="44">
        <v>0.59861111111111109</v>
      </c>
      <c r="C625" s="44" t="s">
        <v>12</v>
      </c>
      <c r="D625" s="45">
        <v>4</v>
      </c>
      <c r="E625" s="45">
        <v>5</v>
      </c>
      <c r="F625" s="46" t="s">
        <v>343</v>
      </c>
      <c r="G625" s="46"/>
      <c r="H625" s="47"/>
      <c r="I625" s="47" t="s">
        <v>298</v>
      </c>
      <c r="J625" s="45" t="str">
        <f>VLOOKUP(Table13232[[#This Row],[Track]],$C$836:$E$882,2,FALSE)</f>
        <v>Qld</v>
      </c>
      <c r="K625" s="49">
        <v>100</v>
      </c>
      <c r="L625" s="45" t="str">
        <f>IF(Table13232[[#This Row],[Fin]]&lt;&gt;"1st","",Table13232[[#This Row],[Div]]*Table13232[[#This Row],[Lev Bet]])</f>
        <v/>
      </c>
      <c r="M625" s="45">
        <f>IF(Table13232[[#This Row],[Lev Ret]]="",Table13232[[#This Row],[Lev Bet]]*-1,L625-K625)</f>
        <v>-100</v>
      </c>
      <c r="N625" s="135">
        <v>100</v>
      </c>
      <c r="O625" s="135" t="str">
        <f>IF(Table13232[[#This Row],[Fin]]&lt;&gt;"1st","",Table13232[[#This Row],[Div]]*Table13232[[#This Row],[Nat and Combo Bet]])</f>
        <v/>
      </c>
      <c r="P625" s="135">
        <f>IF(Table13232[[#This Row],[Lev Ret]]="",Table13232[[#This Row],[Nat and Combo Bet]]*-1,O625-N625)</f>
        <v>-100</v>
      </c>
      <c r="Q625" s="50">
        <f t="shared" si="27"/>
        <v>1</v>
      </c>
      <c r="R625" s="50">
        <f>IF(AND(Q624=2,Q625=1),"",IF(Q625=2,(N625+N626)/2,IF(Table13232[[#This Row],[Dual Listing]]=1,Table13232[[#This Row],[Nat and Combo Bet]],11)))</f>
        <v>100</v>
      </c>
      <c r="S625" s="50" t="str">
        <f t="shared" si="28"/>
        <v/>
      </c>
      <c r="T625" s="50">
        <f t="shared" si="29"/>
        <v>-100</v>
      </c>
      <c r="U625" s="50" t="str">
        <f>IF(Table13232[[#This Row],[Date]]&lt;$U$4,"","Live")</f>
        <v>Live</v>
      </c>
      <c r="V625" s="45" t="str">
        <f>TEXT(Table13232[[#This Row],[Date]],"DDD")</f>
        <v>Sat</v>
      </c>
      <c r="W625" s="45" t="str">
        <f>PROPER(TRIM(Table13232[[#This Row],[Horse]]))</f>
        <v>Voracious</v>
      </c>
    </row>
    <row r="626" spans="1:23" x14ac:dyDescent="0.25">
      <c r="A626" s="43">
        <v>45969</v>
      </c>
      <c r="B626" s="44">
        <v>0.62638888888888888</v>
      </c>
      <c r="C626" s="44" t="s">
        <v>12</v>
      </c>
      <c r="D626" s="45">
        <v>5</v>
      </c>
      <c r="E626" s="45">
        <v>11</v>
      </c>
      <c r="F626" s="46" t="s">
        <v>344</v>
      </c>
      <c r="G626" s="46" t="s">
        <v>21</v>
      </c>
      <c r="H626" s="47">
        <v>2.4</v>
      </c>
      <c r="I626" s="47" t="s">
        <v>298</v>
      </c>
      <c r="J626" s="45" t="str">
        <f>VLOOKUP(Table13232[[#This Row],[Track]],$C$836:$E$882,2,FALSE)</f>
        <v>Qld</v>
      </c>
      <c r="K626" s="49">
        <v>100</v>
      </c>
      <c r="L626" s="45">
        <f>IF(Table13232[[#This Row],[Fin]]&lt;&gt;"1st","",Table13232[[#This Row],[Div]]*Table13232[[#This Row],[Lev Bet]])</f>
        <v>240</v>
      </c>
      <c r="M626" s="45">
        <f>IF(Table13232[[#This Row],[Lev Ret]]="",Table13232[[#This Row],[Lev Bet]]*-1,L626-K626)</f>
        <v>140</v>
      </c>
      <c r="N626" s="135">
        <v>100</v>
      </c>
      <c r="O626" s="135">
        <f>IF(Table13232[[#This Row],[Fin]]&lt;&gt;"1st","",Table13232[[#This Row],[Div]]*Table13232[[#This Row],[Nat and Combo Bet]])</f>
        <v>240</v>
      </c>
      <c r="P626" s="135">
        <f>IF(Table13232[[#This Row],[Lev Ret]]="",Table13232[[#This Row],[Nat and Combo Bet]]*-1,O626-N626)</f>
        <v>140</v>
      </c>
      <c r="Q626" s="50">
        <f t="shared" si="27"/>
        <v>1</v>
      </c>
      <c r="R626" s="50">
        <f>IF(AND(Q625=2,Q626=1),"",IF(Q626=2,(N626+N627)/2,IF(Table13232[[#This Row],[Dual Listing]]=1,Table13232[[#This Row],[Nat and Combo Bet]],11)))</f>
        <v>100</v>
      </c>
      <c r="S626" s="50">
        <f t="shared" si="28"/>
        <v>240</v>
      </c>
      <c r="T626" s="50">
        <f t="shared" si="29"/>
        <v>140</v>
      </c>
      <c r="U626" s="50" t="str">
        <f>IF(Table13232[[#This Row],[Date]]&lt;$U$4,"","Live")</f>
        <v>Live</v>
      </c>
      <c r="V626" s="45" t="str">
        <f>TEXT(Table13232[[#This Row],[Date]],"DDD")</f>
        <v>Sat</v>
      </c>
      <c r="W626" s="45" t="str">
        <f>PROPER(TRIM(Table13232[[#This Row],[Horse]]))</f>
        <v>Lyles</v>
      </c>
    </row>
    <row r="627" spans="1:23" x14ac:dyDescent="0.25">
      <c r="A627" s="109">
        <v>45969</v>
      </c>
      <c r="B627" s="53">
        <v>0.67361111111111116</v>
      </c>
      <c r="C627" s="110" t="s">
        <v>11</v>
      </c>
      <c r="D627" s="111">
        <v>7</v>
      </c>
      <c r="E627" s="111">
        <v>2</v>
      </c>
      <c r="F627" s="112" t="s">
        <v>232</v>
      </c>
      <c r="G627" s="112"/>
      <c r="H627" s="113"/>
      <c r="I627" s="114" t="s">
        <v>297</v>
      </c>
      <c r="J627" s="45" t="str">
        <f>VLOOKUP(Table13232[[#This Row],[Track]],$C$836:$E$882,2,FALSE)</f>
        <v>NSW</v>
      </c>
      <c r="K627" s="49">
        <v>100</v>
      </c>
      <c r="L627" s="45" t="str">
        <f>IF(Table13232[[#This Row],[Fin]]&lt;&gt;"1st","",Table13232[[#This Row],[Div]]*Table13232[[#This Row],[Lev Bet]])</f>
        <v/>
      </c>
      <c r="M627" s="45">
        <f>IF(Table13232[[#This Row],[Lev Ret]]="",Table13232[[#This Row],[Lev Bet]]*-1,L627-K627)</f>
        <v>-100</v>
      </c>
      <c r="N627" s="135">
        <v>200</v>
      </c>
      <c r="O627" s="135" t="str">
        <f>IF(Table13232[[#This Row],[Fin]]&lt;&gt;"1st","",Table13232[[#This Row],[Div]]*Table13232[[#This Row],[Nat and Combo Bet]])</f>
        <v/>
      </c>
      <c r="P627" s="135">
        <f>IF(Table13232[[#This Row],[Lev Ret]]="",Table13232[[#This Row],[Nat and Combo Bet]]*-1,O627-N627)</f>
        <v>-200</v>
      </c>
      <c r="Q627" s="50">
        <f t="shared" si="27"/>
        <v>2</v>
      </c>
      <c r="R627" s="50">
        <f>IF(AND(Q626=2,Q627=1),"",IF(Q627=2,(N627+N628)/2,IF(Table13232[[#This Row],[Dual Listing]]=1,Table13232[[#This Row],[Nat and Combo Bet]],11)))</f>
        <v>175</v>
      </c>
      <c r="S627" s="50" t="str">
        <f t="shared" si="28"/>
        <v/>
      </c>
      <c r="T627" s="50">
        <f t="shared" si="29"/>
        <v>-175</v>
      </c>
      <c r="U627" s="50" t="str">
        <f>IF(Table13232[[#This Row],[Date]]&lt;$U$4,"","Live")</f>
        <v>Live</v>
      </c>
      <c r="V627" s="45" t="str">
        <f>TEXT(Table13232[[#This Row],[Date]],"DDD")</f>
        <v>Sat</v>
      </c>
      <c r="W627" s="45" t="str">
        <f>PROPER(TRIM(Table13232[[#This Row],[Horse]]))</f>
        <v>Miss Roumbini</v>
      </c>
    </row>
    <row r="628" spans="1:23" x14ac:dyDescent="0.25">
      <c r="A628" s="109">
        <v>45969</v>
      </c>
      <c r="B628" s="53">
        <v>0.67361111111111116</v>
      </c>
      <c r="C628" s="110" t="s">
        <v>11</v>
      </c>
      <c r="D628" s="111">
        <v>7</v>
      </c>
      <c r="E628" s="111">
        <v>2</v>
      </c>
      <c r="F628" s="112" t="s">
        <v>232</v>
      </c>
      <c r="G628" s="112"/>
      <c r="H628" s="113"/>
      <c r="I628" s="113" t="s">
        <v>298</v>
      </c>
      <c r="J628" s="45" t="str">
        <f>VLOOKUP(Table13232[[#This Row],[Track]],$C$836:$E$882,2,FALSE)</f>
        <v>NSW</v>
      </c>
      <c r="K628" s="49">
        <v>100</v>
      </c>
      <c r="L628" s="45" t="str">
        <f>IF(Table13232[[#This Row],[Fin]]&lt;&gt;"1st","",Table13232[[#This Row],[Div]]*Table13232[[#This Row],[Lev Bet]])</f>
        <v/>
      </c>
      <c r="M628" s="45">
        <f>IF(Table13232[[#This Row],[Lev Ret]]="",Table13232[[#This Row],[Lev Bet]]*-1,L628-K628)</f>
        <v>-100</v>
      </c>
      <c r="N628" s="135">
        <v>150</v>
      </c>
      <c r="O628" s="135" t="str">
        <f>IF(Table13232[[#This Row],[Fin]]&lt;&gt;"1st","",Table13232[[#This Row],[Div]]*Table13232[[#This Row],[Nat and Combo Bet]])</f>
        <v/>
      </c>
      <c r="P628" s="135">
        <f>IF(Table13232[[#This Row],[Lev Ret]]="",Table13232[[#This Row],[Nat and Combo Bet]]*-1,O628-N628)</f>
        <v>-150</v>
      </c>
      <c r="Q628" s="50">
        <f t="shared" si="27"/>
        <v>1</v>
      </c>
      <c r="R628" s="50" t="str">
        <f>IF(AND(Q627=2,Q628=1),"",IF(Q628=2,(N628+N629)/2,IF(Table13232[[#This Row],[Dual Listing]]=1,Table13232[[#This Row],[Nat and Combo Bet]],11)))</f>
        <v/>
      </c>
      <c r="S628" s="50" t="str">
        <f t="shared" si="28"/>
        <v/>
      </c>
      <c r="T628" s="50" t="str">
        <f t="shared" si="29"/>
        <v/>
      </c>
      <c r="U628" s="50" t="str">
        <f>IF(Table13232[[#This Row],[Date]]&lt;$U$4,"","Live")</f>
        <v>Live</v>
      </c>
      <c r="V628" s="45" t="str">
        <f>TEXT(Table13232[[#This Row],[Date]],"DDD")</f>
        <v>Sat</v>
      </c>
      <c r="W628" s="45" t="str">
        <f>PROPER(TRIM(Table13232[[#This Row],[Horse]]))</f>
        <v>Miss Roumbini</v>
      </c>
    </row>
    <row r="629" spans="1:23" x14ac:dyDescent="0.25">
      <c r="A629" s="109">
        <v>45969</v>
      </c>
      <c r="B629" s="53">
        <v>0.75347222222222221</v>
      </c>
      <c r="C629" s="110" t="s">
        <v>11</v>
      </c>
      <c r="D629" s="111">
        <v>10</v>
      </c>
      <c r="E629" s="111">
        <v>9</v>
      </c>
      <c r="F629" s="112" t="s">
        <v>326</v>
      </c>
      <c r="G629" s="112" t="s">
        <v>22</v>
      </c>
      <c r="H629" s="113"/>
      <c r="I629" s="114" t="s">
        <v>297</v>
      </c>
      <c r="J629" s="45" t="str">
        <f>VLOOKUP(Table13232[[#This Row],[Track]],$C$836:$E$882,2,FALSE)</f>
        <v>NSW</v>
      </c>
      <c r="K629" s="49">
        <v>100</v>
      </c>
      <c r="L629" s="45" t="str">
        <f>IF(Table13232[[#This Row],[Fin]]&lt;&gt;"1st","",Table13232[[#This Row],[Div]]*Table13232[[#This Row],[Lev Bet]])</f>
        <v/>
      </c>
      <c r="M629" s="45">
        <f>IF(Table13232[[#This Row],[Lev Ret]]="",Table13232[[#This Row],[Lev Bet]]*-1,L629-K629)</f>
        <v>-100</v>
      </c>
      <c r="N629" s="135">
        <v>200</v>
      </c>
      <c r="O629" s="135" t="str">
        <f>IF(Table13232[[#This Row],[Fin]]&lt;&gt;"1st","",Table13232[[#This Row],[Div]]*Table13232[[#This Row],[Nat and Combo Bet]])</f>
        <v/>
      </c>
      <c r="P629" s="135">
        <f>IF(Table13232[[#This Row],[Lev Ret]]="",Table13232[[#This Row],[Nat and Combo Bet]]*-1,O629-N629)</f>
        <v>-200</v>
      </c>
      <c r="Q629" s="50">
        <f t="shared" si="27"/>
        <v>2</v>
      </c>
      <c r="R629" s="50">
        <f>IF(AND(Q628=2,Q629=1),"",IF(Q629=2,(N629+N630)/2,IF(Table13232[[#This Row],[Dual Listing]]=1,Table13232[[#This Row],[Nat and Combo Bet]],11)))</f>
        <v>175</v>
      </c>
      <c r="S629" s="50" t="str">
        <f t="shared" si="28"/>
        <v/>
      </c>
      <c r="T629" s="50">
        <f t="shared" si="29"/>
        <v>-175</v>
      </c>
      <c r="U629" s="50" t="str">
        <f>IF(Table13232[[#This Row],[Date]]&lt;$U$4,"","Live")</f>
        <v>Live</v>
      </c>
      <c r="V629" s="45" t="str">
        <f>TEXT(Table13232[[#This Row],[Date]],"DDD")</f>
        <v>Sat</v>
      </c>
      <c r="W629" s="45" t="str">
        <f>PROPER(TRIM(Table13232[[#This Row],[Horse]]))</f>
        <v>Frosty Girl</v>
      </c>
    </row>
    <row r="630" spans="1:23" x14ac:dyDescent="0.25">
      <c r="A630" s="109">
        <v>45969</v>
      </c>
      <c r="B630" s="53">
        <v>0.75347222222222221</v>
      </c>
      <c r="C630" s="110" t="s">
        <v>11</v>
      </c>
      <c r="D630" s="111">
        <v>10</v>
      </c>
      <c r="E630" s="111">
        <v>9</v>
      </c>
      <c r="F630" s="112" t="s">
        <v>326</v>
      </c>
      <c r="G630" s="112" t="s">
        <v>22</v>
      </c>
      <c r="H630" s="113"/>
      <c r="I630" s="113" t="s">
        <v>298</v>
      </c>
      <c r="J630" s="45" t="str">
        <f>VLOOKUP(Table13232[[#This Row],[Track]],$C$836:$E$882,2,FALSE)</f>
        <v>NSW</v>
      </c>
      <c r="K630" s="49">
        <v>100</v>
      </c>
      <c r="L630" s="45" t="str">
        <f>IF(Table13232[[#This Row],[Fin]]&lt;&gt;"1st","",Table13232[[#This Row],[Div]]*Table13232[[#This Row],[Lev Bet]])</f>
        <v/>
      </c>
      <c r="M630" s="45">
        <f>IF(Table13232[[#This Row],[Lev Ret]]="",Table13232[[#This Row],[Lev Bet]]*-1,L630-K630)</f>
        <v>-100</v>
      </c>
      <c r="N630" s="135">
        <v>150</v>
      </c>
      <c r="O630" s="135" t="str">
        <f>IF(Table13232[[#This Row],[Fin]]&lt;&gt;"1st","",Table13232[[#This Row],[Div]]*Table13232[[#This Row],[Nat and Combo Bet]])</f>
        <v/>
      </c>
      <c r="P630" s="135">
        <f>IF(Table13232[[#This Row],[Lev Ret]]="",Table13232[[#This Row],[Nat and Combo Bet]]*-1,O630-N630)</f>
        <v>-150</v>
      </c>
      <c r="Q630" s="50">
        <f t="shared" si="27"/>
        <v>1</v>
      </c>
      <c r="R630" s="50" t="str">
        <f>IF(AND(Q629=2,Q630=1),"",IF(Q630=2,(N630+N631)/2,IF(Table13232[[#This Row],[Dual Listing]]=1,Table13232[[#This Row],[Nat and Combo Bet]],11)))</f>
        <v/>
      </c>
      <c r="S630" s="50" t="str">
        <f t="shared" si="28"/>
        <v/>
      </c>
      <c r="T630" s="50" t="str">
        <f t="shared" si="29"/>
        <v/>
      </c>
      <c r="U630" s="50" t="str">
        <f>IF(Table13232[[#This Row],[Date]]&lt;$U$4,"","Live")</f>
        <v>Live</v>
      </c>
      <c r="V630" s="45" t="str">
        <f>TEXT(Table13232[[#This Row],[Date]],"DDD")</f>
        <v>Sat</v>
      </c>
      <c r="W630" s="45" t="str">
        <f>PROPER(TRIM(Table13232[[#This Row],[Horse]]))</f>
        <v>Frosty Girl</v>
      </c>
    </row>
    <row r="631" spans="1:23" x14ac:dyDescent="0.25">
      <c r="A631" s="43">
        <v>45969</v>
      </c>
      <c r="B631" s="44">
        <v>0.76388888888888884</v>
      </c>
      <c r="C631" s="44" t="s">
        <v>12</v>
      </c>
      <c r="D631" s="45">
        <v>10</v>
      </c>
      <c r="E631" s="45">
        <v>1</v>
      </c>
      <c r="F631" s="46" t="s">
        <v>305</v>
      </c>
      <c r="G631" s="46" t="s">
        <v>23</v>
      </c>
      <c r="H631" s="47"/>
      <c r="I631" s="47" t="s">
        <v>298</v>
      </c>
      <c r="J631" s="45" t="str">
        <f>VLOOKUP(Table13232[[#This Row],[Track]],$C$836:$E$882,2,FALSE)</f>
        <v>Qld</v>
      </c>
      <c r="K631" s="49">
        <v>100</v>
      </c>
      <c r="L631" s="45" t="str">
        <f>IF(Table13232[[#This Row],[Fin]]&lt;&gt;"1st","",Table13232[[#This Row],[Div]]*Table13232[[#This Row],[Lev Bet]])</f>
        <v/>
      </c>
      <c r="M631" s="45">
        <f>IF(Table13232[[#This Row],[Lev Ret]]="",Table13232[[#This Row],[Lev Bet]]*-1,L631-K631)</f>
        <v>-100</v>
      </c>
      <c r="N631" s="135">
        <v>100</v>
      </c>
      <c r="O631" s="135" t="str">
        <f>IF(Table13232[[#This Row],[Fin]]&lt;&gt;"1st","",Table13232[[#This Row],[Div]]*Table13232[[#This Row],[Nat and Combo Bet]])</f>
        <v/>
      </c>
      <c r="P631" s="135">
        <f>IF(Table13232[[#This Row],[Lev Ret]]="",Table13232[[#This Row],[Nat and Combo Bet]]*-1,O631-N631)</f>
        <v>-100</v>
      </c>
      <c r="Q631" s="50">
        <f t="shared" si="27"/>
        <v>1</v>
      </c>
      <c r="R631" s="50">
        <f>IF(AND(Q630=2,Q631=1),"",IF(Q631=2,(N631+N632)/2,IF(Table13232[[#This Row],[Dual Listing]]=1,Table13232[[#This Row],[Nat and Combo Bet]],11)))</f>
        <v>100</v>
      </c>
      <c r="S631" s="50" t="str">
        <f t="shared" si="28"/>
        <v/>
      </c>
      <c r="T631" s="50">
        <f t="shared" si="29"/>
        <v>-100</v>
      </c>
      <c r="U631" s="50" t="str">
        <f>IF(Table13232[[#This Row],[Date]]&lt;$U$4,"","Live")</f>
        <v>Live</v>
      </c>
      <c r="V631" s="45" t="str">
        <f>TEXT(Table13232[[#This Row],[Date]],"DDD")</f>
        <v>Sat</v>
      </c>
      <c r="W631" s="45" t="str">
        <f>PROPER(TRIM(Table13232[[#This Row],[Horse]]))</f>
        <v>Epic Proportions</v>
      </c>
    </row>
    <row r="632" spans="1:23" x14ac:dyDescent="0.25">
      <c r="A632" s="43">
        <v>45976</v>
      </c>
      <c r="B632" s="44">
        <v>0.53472222222222221</v>
      </c>
      <c r="C632" s="44" t="s">
        <v>34</v>
      </c>
      <c r="D632" s="45">
        <v>2</v>
      </c>
      <c r="E632" s="45">
        <v>1</v>
      </c>
      <c r="F632" s="46" t="s">
        <v>327</v>
      </c>
      <c r="G632" s="46" t="s">
        <v>21</v>
      </c>
      <c r="H632" s="47">
        <v>3.6</v>
      </c>
      <c r="I632" s="52" t="s">
        <v>297</v>
      </c>
      <c r="J632" s="45" t="str">
        <f>VLOOKUP(Table13232[[#This Row],[Track]],$C$836:$E$882,2,FALSE)</f>
        <v>Vic</v>
      </c>
      <c r="K632" s="49">
        <v>100</v>
      </c>
      <c r="L632" s="45">
        <f>IF(Table13232[[#This Row],[Fin]]&lt;&gt;"1st","",Table13232[[#This Row],[Div]]*Table13232[[#This Row],[Lev Bet]])</f>
        <v>360</v>
      </c>
      <c r="M632" s="45">
        <f>IF(Table13232[[#This Row],[Lev Ret]]="",Table13232[[#This Row],[Lev Bet]]*-1,L632-K632)</f>
        <v>260</v>
      </c>
      <c r="N632" s="135">
        <v>150</v>
      </c>
      <c r="O632" s="135">
        <f>IF(Table13232[[#This Row],[Fin]]&lt;&gt;"1st","",Table13232[[#This Row],[Div]]*Table13232[[#This Row],[Nat and Combo Bet]])</f>
        <v>540</v>
      </c>
      <c r="P632" s="135">
        <f>IF(Table13232[[#This Row],[Lev Ret]]="",Table13232[[#This Row],[Nat and Combo Bet]]*-1,O632-N632)</f>
        <v>390</v>
      </c>
      <c r="Q632" s="50">
        <f t="shared" si="27"/>
        <v>1</v>
      </c>
      <c r="R632" s="50">
        <f>IF(AND(Q631=2,Q632=1),"",IF(Q632=2,(N632+N633)/2,IF(Table13232[[#This Row],[Dual Listing]]=1,Table13232[[#This Row],[Nat and Combo Bet]],11)))</f>
        <v>150</v>
      </c>
      <c r="S632" s="50">
        <f t="shared" si="28"/>
        <v>540</v>
      </c>
      <c r="T632" s="50">
        <f t="shared" si="29"/>
        <v>390</v>
      </c>
      <c r="U632" s="50" t="str">
        <f>IF(Table13232[[#This Row],[Date]]&lt;$U$4,"","Live")</f>
        <v>Live</v>
      </c>
      <c r="V632" s="45" t="str">
        <f>TEXT(Table13232[[#This Row],[Date]],"DDD")</f>
        <v>Sat</v>
      </c>
      <c r="W632" s="45" t="str">
        <f>PROPER(TRIM(Table13232[[#This Row],[Horse]]))</f>
        <v>Black Run</v>
      </c>
    </row>
    <row r="633" spans="1:23" x14ac:dyDescent="0.25">
      <c r="A633" s="43">
        <v>45976</v>
      </c>
      <c r="B633" s="44">
        <v>0.53472222222222221</v>
      </c>
      <c r="C633" s="44" t="s">
        <v>34</v>
      </c>
      <c r="D633" s="45">
        <v>2</v>
      </c>
      <c r="E633" s="45">
        <v>13</v>
      </c>
      <c r="F633" s="46" t="s">
        <v>328</v>
      </c>
      <c r="G633" s="46"/>
      <c r="H633" s="47"/>
      <c r="I633" s="52" t="s">
        <v>297</v>
      </c>
      <c r="J633" s="45" t="str">
        <f>VLOOKUP(Table13232[[#This Row],[Track]],$C$836:$E$882,2,FALSE)</f>
        <v>Vic</v>
      </c>
      <c r="K633" s="49">
        <v>100</v>
      </c>
      <c r="L633" s="45" t="str">
        <f>IF(Table13232[[#This Row],[Fin]]&lt;&gt;"1st","",Table13232[[#This Row],[Div]]*Table13232[[#This Row],[Lev Bet]])</f>
        <v/>
      </c>
      <c r="M633" s="45">
        <f>IF(Table13232[[#This Row],[Lev Ret]]="",Table13232[[#This Row],[Lev Bet]]*-1,L633-K633)</f>
        <v>-100</v>
      </c>
      <c r="N633" s="135">
        <v>150</v>
      </c>
      <c r="O633" s="135" t="str">
        <f>IF(Table13232[[#This Row],[Fin]]&lt;&gt;"1st","",Table13232[[#This Row],[Div]]*Table13232[[#This Row],[Nat and Combo Bet]])</f>
        <v/>
      </c>
      <c r="P633" s="135">
        <f>IF(Table13232[[#This Row],[Lev Ret]]="",Table13232[[#This Row],[Nat and Combo Bet]]*-1,O633-N633)</f>
        <v>-150</v>
      </c>
      <c r="Q633" s="50">
        <f t="shared" si="27"/>
        <v>1</v>
      </c>
      <c r="R633" s="50">
        <f>IF(AND(Q632=2,Q633=1),"",IF(Q633=2,(N633+N634)/2,IF(Table13232[[#This Row],[Dual Listing]]=1,Table13232[[#This Row],[Nat and Combo Bet]],11)))</f>
        <v>150</v>
      </c>
      <c r="S633" s="50" t="str">
        <f t="shared" si="28"/>
        <v/>
      </c>
      <c r="T633" s="50">
        <f t="shared" si="29"/>
        <v>-150</v>
      </c>
      <c r="U633" s="50" t="str">
        <f>IF(Table13232[[#This Row],[Date]]&lt;$U$4,"","Live")</f>
        <v>Live</v>
      </c>
      <c r="V633" s="45" t="str">
        <f>TEXT(Table13232[[#This Row],[Date]],"DDD")</f>
        <v>Sat</v>
      </c>
      <c r="W633" s="45" t="str">
        <f>PROPER(TRIM(Table13232[[#This Row],[Horse]]))</f>
        <v>Hot Too Go</v>
      </c>
    </row>
    <row r="634" spans="1:23" x14ac:dyDescent="0.25">
      <c r="A634" s="109">
        <v>45976</v>
      </c>
      <c r="B634" s="53">
        <v>0.54861111111111116</v>
      </c>
      <c r="C634" s="110" t="s">
        <v>38</v>
      </c>
      <c r="D634" s="111">
        <v>2</v>
      </c>
      <c r="E634" s="111">
        <v>9</v>
      </c>
      <c r="F634" s="112" t="s">
        <v>315</v>
      </c>
      <c r="G634" s="112" t="s">
        <v>22</v>
      </c>
      <c r="H634" s="113"/>
      <c r="I634" s="114" t="s">
        <v>297</v>
      </c>
      <c r="J634" s="45" t="str">
        <f>VLOOKUP(Table13232[[#This Row],[Track]],$C$836:$E$882,2,FALSE)</f>
        <v>NSW</v>
      </c>
      <c r="K634" s="49">
        <v>100</v>
      </c>
      <c r="L634" s="45" t="str">
        <f>IF(Table13232[[#This Row],[Fin]]&lt;&gt;"1st","",Table13232[[#This Row],[Div]]*Table13232[[#This Row],[Lev Bet]])</f>
        <v/>
      </c>
      <c r="M634" s="45">
        <f>IF(Table13232[[#This Row],[Lev Ret]]="",Table13232[[#This Row],[Lev Bet]]*-1,L634-K634)</f>
        <v>-100</v>
      </c>
      <c r="N634" s="135">
        <v>200</v>
      </c>
      <c r="O634" s="135" t="str">
        <f>IF(Table13232[[#This Row],[Fin]]&lt;&gt;"1st","",Table13232[[#This Row],[Div]]*Table13232[[#This Row],[Nat and Combo Bet]])</f>
        <v/>
      </c>
      <c r="P634" s="135">
        <f>IF(Table13232[[#This Row],[Lev Ret]]="",Table13232[[#This Row],[Nat and Combo Bet]]*-1,O634-N634)</f>
        <v>-200</v>
      </c>
      <c r="Q634" s="50">
        <f t="shared" si="27"/>
        <v>2</v>
      </c>
      <c r="R634" s="50">
        <f>IF(AND(Q633=2,Q634=1),"",IF(Q634=2,(N634+N635)/2,IF(Table13232[[#This Row],[Dual Listing]]=1,Table13232[[#This Row],[Nat and Combo Bet]],11)))</f>
        <v>175</v>
      </c>
      <c r="S634" s="50" t="str">
        <f t="shared" si="28"/>
        <v/>
      </c>
      <c r="T634" s="50">
        <f t="shared" si="29"/>
        <v>-175</v>
      </c>
      <c r="U634" s="50" t="str">
        <f>IF(Table13232[[#This Row],[Date]]&lt;$U$4,"","Live")</f>
        <v>Live</v>
      </c>
      <c r="V634" s="45" t="str">
        <f>TEXT(Table13232[[#This Row],[Date]],"DDD")</f>
        <v>Sat</v>
      </c>
      <c r="W634" s="45" t="str">
        <f>PROPER(TRIM(Table13232[[#This Row],[Horse]]))</f>
        <v>Strawberry Impact</v>
      </c>
    </row>
    <row r="635" spans="1:23" x14ac:dyDescent="0.25">
      <c r="A635" s="109">
        <v>45976</v>
      </c>
      <c r="B635" s="53">
        <v>0.54861111111111116</v>
      </c>
      <c r="C635" s="110" t="s">
        <v>38</v>
      </c>
      <c r="D635" s="111">
        <v>2</v>
      </c>
      <c r="E635" s="111">
        <v>9</v>
      </c>
      <c r="F635" s="112" t="s">
        <v>315</v>
      </c>
      <c r="G635" s="112" t="s">
        <v>22</v>
      </c>
      <c r="H635" s="113"/>
      <c r="I635" s="113" t="s">
        <v>298</v>
      </c>
      <c r="J635" s="45" t="str">
        <f>VLOOKUP(Table13232[[#This Row],[Track]],$C$836:$E$882,2,FALSE)</f>
        <v>NSW</v>
      </c>
      <c r="K635" s="49">
        <v>100</v>
      </c>
      <c r="L635" s="45" t="str">
        <f>IF(Table13232[[#This Row],[Fin]]&lt;&gt;"1st","",Table13232[[#This Row],[Div]]*Table13232[[#This Row],[Lev Bet]])</f>
        <v/>
      </c>
      <c r="M635" s="45">
        <f>IF(Table13232[[#This Row],[Lev Ret]]="",Table13232[[#This Row],[Lev Bet]]*-1,L635-K635)</f>
        <v>-100</v>
      </c>
      <c r="N635" s="135">
        <v>150</v>
      </c>
      <c r="O635" s="135" t="str">
        <f>IF(Table13232[[#This Row],[Fin]]&lt;&gt;"1st","",Table13232[[#This Row],[Div]]*Table13232[[#This Row],[Nat and Combo Bet]])</f>
        <v/>
      </c>
      <c r="P635" s="135">
        <f>IF(Table13232[[#This Row],[Lev Ret]]="",Table13232[[#This Row],[Nat and Combo Bet]]*-1,O635-N635)</f>
        <v>-150</v>
      </c>
      <c r="Q635" s="50">
        <f t="shared" si="27"/>
        <v>1</v>
      </c>
      <c r="R635" s="50" t="str">
        <f>IF(AND(Q634=2,Q635=1),"",IF(Q635=2,(N635+N636)/2,IF(Table13232[[#This Row],[Dual Listing]]=1,Table13232[[#This Row],[Nat and Combo Bet]],11)))</f>
        <v/>
      </c>
      <c r="S635" s="50" t="str">
        <f t="shared" si="28"/>
        <v/>
      </c>
      <c r="T635" s="50" t="str">
        <f t="shared" si="29"/>
        <v/>
      </c>
      <c r="U635" s="50" t="str">
        <f>IF(Table13232[[#This Row],[Date]]&lt;$U$4,"","Live")</f>
        <v>Live</v>
      </c>
      <c r="V635" s="45" t="str">
        <f>TEXT(Table13232[[#This Row],[Date]],"DDD")</f>
        <v>Sat</v>
      </c>
      <c r="W635" s="45" t="str">
        <f>PROPER(TRIM(Table13232[[#This Row],[Horse]]))</f>
        <v>Strawberry Impact</v>
      </c>
    </row>
    <row r="636" spans="1:23" x14ac:dyDescent="0.25">
      <c r="A636" s="43">
        <v>45976</v>
      </c>
      <c r="B636" s="44">
        <v>0.55902777777777779</v>
      </c>
      <c r="C636" s="44" t="s">
        <v>34</v>
      </c>
      <c r="D636" s="45">
        <v>3</v>
      </c>
      <c r="E636" s="45">
        <v>7</v>
      </c>
      <c r="F636" s="46" t="s">
        <v>345</v>
      </c>
      <c r="G636" s="46" t="s">
        <v>23</v>
      </c>
      <c r="H636" s="47"/>
      <c r="I636" s="47" t="s">
        <v>298</v>
      </c>
      <c r="J636" s="45" t="str">
        <f>VLOOKUP(Table13232[[#This Row],[Track]],$C$836:$E$882,2,FALSE)</f>
        <v>Vic</v>
      </c>
      <c r="K636" s="49">
        <v>100</v>
      </c>
      <c r="L636" s="45" t="str">
        <f>IF(Table13232[[#This Row],[Fin]]&lt;&gt;"1st","",Table13232[[#This Row],[Div]]*Table13232[[#This Row],[Lev Bet]])</f>
        <v/>
      </c>
      <c r="M636" s="45">
        <f>IF(Table13232[[#This Row],[Lev Ret]]="",Table13232[[#This Row],[Lev Bet]]*-1,L636-K636)</f>
        <v>-100</v>
      </c>
      <c r="N636" s="135">
        <v>100</v>
      </c>
      <c r="O636" s="135" t="str">
        <f>IF(Table13232[[#This Row],[Fin]]&lt;&gt;"1st","",Table13232[[#This Row],[Div]]*Table13232[[#This Row],[Nat and Combo Bet]])</f>
        <v/>
      </c>
      <c r="P636" s="135">
        <f>IF(Table13232[[#This Row],[Lev Ret]]="",Table13232[[#This Row],[Nat and Combo Bet]]*-1,O636-N636)</f>
        <v>-100</v>
      </c>
      <c r="Q636" s="50">
        <f t="shared" si="27"/>
        <v>1</v>
      </c>
      <c r="R636" s="50">
        <f>IF(AND(Q635=2,Q636=1),"",IF(Q636=2,(N636+N637)/2,IF(Table13232[[#This Row],[Dual Listing]]=1,Table13232[[#This Row],[Nat and Combo Bet]],11)))</f>
        <v>100</v>
      </c>
      <c r="S636" s="50" t="str">
        <f t="shared" si="28"/>
        <v/>
      </c>
      <c r="T636" s="50">
        <f t="shared" si="29"/>
        <v>-100</v>
      </c>
      <c r="U636" s="50" t="str">
        <f>IF(Table13232[[#This Row],[Date]]&lt;$U$4,"","Live")</f>
        <v>Live</v>
      </c>
      <c r="V636" s="45" t="str">
        <f>TEXT(Table13232[[#This Row],[Date]],"DDD")</f>
        <v>Sat</v>
      </c>
      <c r="W636" s="45" t="str">
        <f>PROPER(TRIM(Table13232[[#This Row],[Horse]]))</f>
        <v>Nearing Liberty</v>
      </c>
    </row>
    <row r="637" spans="1:23" x14ac:dyDescent="0.25">
      <c r="A637" s="43">
        <v>45976</v>
      </c>
      <c r="B637" s="44">
        <v>0.58333333333333337</v>
      </c>
      <c r="C637" s="44" t="s">
        <v>34</v>
      </c>
      <c r="D637" s="45">
        <v>4</v>
      </c>
      <c r="E637" s="45">
        <v>4</v>
      </c>
      <c r="F637" s="46" t="s">
        <v>312</v>
      </c>
      <c r="G637" s="46" t="s">
        <v>23</v>
      </c>
      <c r="H637" s="47"/>
      <c r="I637" s="52" t="s">
        <v>297</v>
      </c>
      <c r="J637" s="45" t="str">
        <f>VLOOKUP(Table13232[[#This Row],[Track]],$C$836:$E$882,2,FALSE)</f>
        <v>Vic</v>
      </c>
      <c r="K637" s="49">
        <v>100</v>
      </c>
      <c r="L637" s="45" t="str">
        <f>IF(Table13232[[#This Row],[Fin]]&lt;&gt;"1st","",Table13232[[#This Row],[Div]]*Table13232[[#This Row],[Lev Bet]])</f>
        <v/>
      </c>
      <c r="M637" s="45">
        <f>IF(Table13232[[#This Row],[Lev Ret]]="",Table13232[[#This Row],[Lev Bet]]*-1,L637-K637)</f>
        <v>-100</v>
      </c>
      <c r="N637" s="135">
        <v>150</v>
      </c>
      <c r="O637" s="135" t="str">
        <f>IF(Table13232[[#This Row],[Fin]]&lt;&gt;"1st","",Table13232[[#This Row],[Div]]*Table13232[[#This Row],[Nat and Combo Bet]])</f>
        <v/>
      </c>
      <c r="P637" s="135">
        <f>IF(Table13232[[#This Row],[Lev Ret]]="",Table13232[[#This Row],[Nat and Combo Bet]]*-1,O637-N637)</f>
        <v>-150</v>
      </c>
      <c r="Q637" s="50">
        <f t="shared" si="27"/>
        <v>1</v>
      </c>
      <c r="R637" s="50">
        <f>IF(AND(Q636=2,Q637=1),"",IF(Q637=2,(N637+N638)/2,IF(Table13232[[#This Row],[Dual Listing]]=1,Table13232[[#This Row],[Nat and Combo Bet]],11)))</f>
        <v>150</v>
      </c>
      <c r="S637" s="50" t="str">
        <f t="shared" si="28"/>
        <v/>
      </c>
      <c r="T637" s="50">
        <f t="shared" si="29"/>
        <v>-150</v>
      </c>
      <c r="U637" s="50" t="str">
        <f>IF(Table13232[[#This Row],[Date]]&lt;$U$4,"","Live")</f>
        <v>Live</v>
      </c>
      <c r="V637" s="45" t="str">
        <f>TEXT(Table13232[[#This Row],[Date]],"DDD")</f>
        <v>Sat</v>
      </c>
      <c r="W637" s="45" t="str">
        <f>PROPER(TRIM(Table13232[[#This Row],[Horse]]))</f>
        <v>Hedged</v>
      </c>
    </row>
    <row r="638" spans="1:23" x14ac:dyDescent="0.25">
      <c r="A638" s="43">
        <v>45976</v>
      </c>
      <c r="B638" s="44">
        <v>0.59722222222222221</v>
      </c>
      <c r="C638" s="44" t="s">
        <v>38</v>
      </c>
      <c r="D638" s="45">
        <v>4</v>
      </c>
      <c r="E638" s="45">
        <v>10</v>
      </c>
      <c r="F638" s="46" t="s">
        <v>329</v>
      </c>
      <c r="G638" s="46" t="s">
        <v>21</v>
      </c>
      <c r="H638" s="47">
        <v>3.2</v>
      </c>
      <c r="I638" s="52" t="s">
        <v>297</v>
      </c>
      <c r="J638" s="45" t="str">
        <f>VLOOKUP(Table13232[[#This Row],[Track]],$C$836:$E$882,2,FALSE)</f>
        <v>NSW</v>
      </c>
      <c r="K638" s="49">
        <v>100</v>
      </c>
      <c r="L638" s="45">
        <f>IF(Table13232[[#This Row],[Fin]]&lt;&gt;"1st","",Table13232[[#This Row],[Div]]*Table13232[[#This Row],[Lev Bet]])</f>
        <v>320</v>
      </c>
      <c r="M638" s="45">
        <f>IF(Table13232[[#This Row],[Lev Ret]]="",Table13232[[#This Row],[Lev Bet]]*-1,L638-K638)</f>
        <v>220</v>
      </c>
      <c r="N638" s="135">
        <v>140</v>
      </c>
      <c r="O638" s="135">
        <f>IF(Table13232[[#This Row],[Fin]]&lt;&gt;"1st","",Table13232[[#This Row],[Div]]*Table13232[[#This Row],[Nat and Combo Bet]])</f>
        <v>448</v>
      </c>
      <c r="P638" s="135">
        <f>IF(Table13232[[#This Row],[Lev Ret]]="",Table13232[[#This Row],[Nat and Combo Bet]]*-1,O638-N638)</f>
        <v>308</v>
      </c>
      <c r="Q638" s="50">
        <f t="shared" si="27"/>
        <v>1</v>
      </c>
      <c r="R638" s="50">
        <f>IF(AND(Q637=2,Q638=1),"",IF(Q638=2,(N638+N639)/2,IF(Table13232[[#This Row],[Dual Listing]]=1,Table13232[[#This Row],[Nat and Combo Bet]],11)))</f>
        <v>140</v>
      </c>
      <c r="S638" s="50">
        <f t="shared" si="28"/>
        <v>448</v>
      </c>
      <c r="T638" s="50">
        <f t="shared" si="29"/>
        <v>308</v>
      </c>
      <c r="U638" s="50" t="str">
        <f>IF(Table13232[[#This Row],[Date]]&lt;$U$4,"","Live")</f>
        <v>Live</v>
      </c>
      <c r="V638" s="45" t="str">
        <f>TEXT(Table13232[[#This Row],[Date]],"DDD")</f>
        <v>Sat</v>
      </c>
      <c r="W638" s="45" t="str">
        <f>PROPER(TRIM(Table13232[[#This Row],[Horse]]))</f>
        <v>Maid Of Moolah</v>
      </c>
    </row>
    <row r="639" spans="1:23" x14ac:dyDescent="0.25">
      <c r="A639" s="43">
        <v>45976</v>
      </c>
      <c r="B639" s="44">
        <v>0.59722222222222221</v>
      </c>
      <c r="C639" s="44" t="s">
        <v>38</v>
      </c>
      <c r="D639" s="45">
        <v>4</v>
      </c>
      <c r="E639" s="45">
        <v>5</v>
      </c>
      <c r="F639" s="46" t="s">
        <v>346</v>
      </c>
      <c r="G639" s="46" t="s">
        <v>22</v>
      </c>
      <c r="H639" s="47"/>
      <c r="I639" s="47" t="s">
        <v>298</v>
      </c>
      <c r="J639" s="45" t="str">
        <f>VLOOKUP(Table13232[[#This Row],[Track]],$C$836:$E$882,2,FALSE)</f>
        <v>NSW</v>
      </c>
      <c r="K639" s="49">
        <v>100</v>
      </c>
      <c r="L639" s="45" t="str">
        <f>IF(Table13232[[#This Row],[Fin]]&lt;&gt;"1st","",Table13232[[#This Row],[Div]]*Table13232[[#This Row],[Lev Bet]])</f>
        <v/>
      </c>
      <c r="M639" s="45">
        <f>IF(Table13232[[#This Row],[Lev Ret]]="",Table13232[[#This Row],[Lev Bet]]*-1,L639-K639)</f>
        <v>-100</v>
      </c>
      <c r="N639" s="135">
        <v>150</v>
      </c>
      <c r="O639" s="135" t="str">
        <f>IF(Table13232[[#This Row],[Fin]]&lt;&gt;"1st","",Table13232[[#This Row],[Div]]*Table13232[[#This Row],[Nat and Combo Bet]])</f>
        <v/>
      </c>
      <c r="P639" s="135">
        <f>IF(Table13232[[#This Row],[Lev Ret]]="",Table13232[[#This Row],[Nat and Combo Bet]]*-1,O639-N639)</f>
        <v>-150</v>
      </c>
      <c r="Q639" s="50">
        <f t="shared" si="27"/>
        <v>1</v>
      </c>
      <c r="R639" s="50">
        <f>IF(AND(Q638=2,Q639=1),"",IF(Q639=2,(N639+N640)/2,IF(Table13232[[#This Row],[Dual Listing]]=1,Table13232[[#This Row],[Nat and Combo Bet]],11)))</f>
        <v>150</v>
      </c>
      <c r="S639" s="50" t="str">
        <f t="shared" si="28"/>
        <v/>
      </c>
      <c r="T639" s="50">
        <f t="shared" si="29"/>
        <v>-150</v>
      </c>
      <c r="U639" s="50" t="str">
        <f>IF(Table13232[[#This Row],[Date]]&lt;$U$4,"","Live")</f>
        <v>Live</v>
      </c>
      <c r="V639" s="45" t="str">
        <f>TEXT(Table13232[[#This Row],[Date]],"DDD")</f>
        <v>Sat</v>
      </c>
      <c r="W639" s="45" t="str">
        <f>PROPER(TRIM(Table13232[[#This Row],[Horse]]))</f>
        <v>Rubis Serve</v>
      </c>
    </row>
    <row r="640" spans="1:23" x14ac:dyDescent="0.25">
      <c r="A640" s="109">
        <v>45976</v>
      </c>
      <c r="B640" s="53">
        <v>0.60763888888888884</v>
      </c>
      <c r="C640" s="110" t="s">
        <v>34</v>
      </c>
      <c r="D640" s="111">
        <v>5</v>
      </c>
      <c r="E640" s="111">
        <v>7</v>
      </c>
      <c r="F640" s="112" t="s">
        <v>330</v>
      </c>
      <c r="G640" s="112"/>
      <c r="H640" s="113"/>
      <c r="I640" s="114" t="s">
        <v>297</v>
      </c>
      <c r="J640" s="45" t="str">
        <f>VLOOKUP(Table13232[[#This Row],[Track]],$C$836:$E$882,2,FALSE)</f>
        <v>Vic</v>
      </c>
      <c r="K640" s="49">
        <v>100</v>
      </c>
      <c r="L640" s="45" t="str">
        <f>IF(Table13232[[#This Row],[Fin]]&lt;&gt;"1st","",Table13232[[#This Row],[Div]]*Table13232[[#This Row],[Lev Bet]])</f>
        <v/>
      </c>
      <c r="M640" s="45">
        <f>IF(Table13232[[#This Row],[Lev Ret]]="",Table13232[[#This Row],[Lev Bet]]*-1,L640-K640)</f>
        <v>-100</v>
      </c>
      <c r="N640" s="135">
        <v>50</v>
      </c>
      <c r="O640" s="135" t="str">
        <f>IF(Table13232[[#This Row],[Fin]]&lt;&gt;"1st","",Table13232[[#This Row],[Div]]*Table13232[[#This Row],[Nat and Combo Bet]])</f>
        <v/>
      </c>
      <c r="P640" s="135">
        <f>IF(Table13232[[#This Row],[Lev Ret]]="",Table13232[[#This Row],[Nat and Combo Bet]]*-1,O640-N640)</f>
        <v>-50</v>
      </c>
      <c r="Q640" s="50">
        <f t="shared" si="27"/>
        <v>2</v>
      </c>
      <c r="R640" s="50">
        <f>IF(AND(Q639=2,Q640=1),"",IF(Q640=2,(N640+N641)/2,IF(Table13232[[#This Row],[Dual Listing]]=1,Table13232[[#This Row],[Nat and Combo Bet]],11)))</f>
        <v>125</v>
      </c>
      <c r="S640" s="50" t="str">
        <f t="shared" si="28"/>
        <v/>
      </c>
      <c r="T640" s="50">
        <f t="shared" si="29"/>
        <v>-125</v>
      </c>
      <c r="U640" s="50" t="str">
        <f>IF(Table13232[[#This Row],[Date]]&lt;$U$4,"","Live")</f>
        <v>Live</v>
      </c>
      <c r="V640" s="45" t="str">
        <f>TEXT(Table13232[[#This Row],[Date]],"DDD")</f>
        <v>Sat</v>
      </c>
      <c r="W640" s="45" t="str">
        <f>PROPER(TRIM(Table13232[[#This Row],[Horse]]))</f>
        <v>Brave Miss</v>
      </c>
    </row>
    <row r="641" spans="1:25" x14ac:dyDescent="0.25">
      <c r="A641" s="109">
        <v>45976</v>
      </c>
      <c r="B641" s="53">
        <v>0.60763888888888884</v>
      </c>
      <c r="C641" s="110" t="s">
        <v>34</v>
      </c>
      <c r="D641" s="111">
        <v>5</v>
      </c>
      <c r="E641" s="111">
        <v>7</v>
      </c>
      <c r="F641" s="112" t="s">
        <v>330</v>
      </c>
      <c r="G641" s="112"/>
      <c r="H641" s="113"/>
      <c r="I641" s="113" t="s">
        <v>298</v>
      </c>
      <c r="J641" s="45" t="str">
        <f>VLOOKUP(Table13232[[#This Row],[Track]],$C$836:$E$882,2,FALSE)</f>
        <v>Vic</v>
      </c>
      <c r="K641" s="49">
        <v>100</v>
      </c>
      <c r="L641" s="45" t="str">
        <f>IF(Table13232[[#This Row],[Fin]]&lt;&gt;"1st","",Table13232[[#This Row],[Div]]*Table13232[[#This Row],[Lev Bet]])</f>
        <v/>
      </c>
      <c r="M641" s="45">
        <f>IF(Table13232[[#This Row],[Lev Ret]]="",Table13232[[#This Row],[Lev Bet]]*-1,L641-K641)</f>
        <v>-100</v>
      </c>
      <c r="N641" s="135">
        <v>200</v>
      </c>
      <c r="O641" s="135" t="str">
        <f>IF(Table13232[[#This Row],[Fin]]&lt;&gt;"1st","",Table13232[[#This Row],[Div]]*Table13232[[#This Row],[Nat and Combo Bet]])</f>
        <v/>
      </c>
      <c r="P641" s="135">
        <f>IF(Table13232[[#This Row],[Lev Ret]]="",Table13232[[#This Row],[Nat and Combo Bet]]*-1,O641-N641)</f>
        <v>-200</v>
      </c>
      <c r="Q641" s="50">
        <f t="shared" si="27"/>
        <v>1</v>
      </c>
      <c r="R641" s="50" t="str">
        <f>IF(AND(Q640=2,Q641=1),"",IF(Q641=2,(N641+N642)/2,IF(Table13232[[#This Row],[Dual Listing]]=1,Table13232[[#This Row],[Nat and Combo Bet]],11)))</f>
        <v/>
      </c>
      <c r="S641" s="50" t="str">
        <f t="shared" si="28"/>
        <v/>
      </c>
      <c r="T641" s="50" t="str">
        <f t="shared" si="29"/>
        <v/>
      </c>
      <c r="U641" s="50" t="str">
        <f>IF(Table13232[[#This Row],[Date]]&lt;$U$4,"","Live")</f>
        <v>Live</v>
      </c>
      <c r="V641" s="45" t="str">
        <f>TEXT(Table13232[[#This Row],[Date]],"DDD")</f>
        <v>Sat</v>
      </c>
      <c r="W641" s="45" t="str">
        <f>PROPER(TRIM(Table13232[[#This Row],[Horse]]))</f>
        <v>Brave Miss</v>
      </c>
    </row>
    <row r="642" spans="1:25" x14ac:dyDescent="0.25">
      <c r="A642" s="43">
        <v>45976</v>
      </c>
      <c r="B642" s="44">
        <v>0.62152777777777779</v>
      </c>
      <c r="C642" s="44" t="s">
        <v>38</v>
      </c>
      <c r="D642" s="45">
        <v>5</v>
      </c>
      <c r="E642" s="45">
        <v>4</v>
      </c>
      <c r="F642" s="46" t="s">
        <v>331</v>
      </c>
      <c r="G642" s="46" t="s">
        <v>21</v>
      </c>
      <c r="H642" s="47">
        <v>2.4500000000000002</v>
      </c>
      <c r="I642" s="52" t="s">
        <v>297</v>
      </c>
      <c r="J642" s="45" t="str">
        <f>VLOOKUP(Table13232[[#This Row],[Track]],$C$836:$E$882,2,FALSE)</f>
        <v>NSW</v>
      </c>
      <c r="K642" s="49">
        <v>100</v>
      </c>
      <c r="L642" s="45">
        <f>IF(Table13232[[#This Row],[Fin]]&lt;&gt;"1st","",Table13232[[#This Row],[Div]]*Table13232[[#This Row],[Lev Bet]])</f>
        <v>245.00000000000003</v>
      </c>
      <c r="M642" s="45">
        <f>IF(Table13232[[#This Row],[Lev Ret]]="",Table13232[[#This Row],[Lev Bet]]*-1,L642-K642)</f>
        <v>145.00000000000003</v>
      </c>
      <c r="N642" s="135">
        <v>140</v>
      </c>
      <c r="O642" s="135">
        <f>IF(Table13232[[#This Row],[Fin]]&lt;&gt;"1st","",Table13232[[#This Row],[Div]]*Table13232[[#This Row],[Nat and Combo Bet]])</f>
        <v>343</v>
      </c>
      <c r="P642" s="135">
        <f>IF(Table13232[[#This Row],[Lev Ret]]="",Table13232[[#This Row],[Nat and Combo Bet]]*-1,O642-N642)</f>
        <v>203</v>
      </c>
      <c r="Q642" s="50">
        <f t="shared" si="27"/>
        <v>1</v>
      </c>
      <c r="R642" s="50">
        <f>IF(AND(Q641=2,Q642=1),"",IF(Q642=2,(N642+N643)/2,IF(Table13232[[#This Row],[Dual Listing]]=1,Table13232[[#This Row],[Nat and Combo Bet]],11)))</f>
        <v>140</v>
      </c>
      <c r="S642" s="50">
        <f t="shared" si="28"/>
        <v>343</v>
      </c>
      <c r="T642" s="50">
        <f t="shared" si="29"/>
        <v>203</v>
      </c>
      <c r="U642" s="50" t="str">
        <f>IF(Table13232[[#This Row],[Date]]&lt;$U$4,"","Live")</f>
        <v>Live</v>
      </c>
      <c r="V642" s="45" t="str">
        <f>TEXT(Table13232[[#This Row],[Date]],"DDD")</f>
        <v>Sat</v>
      </c>
      <c r="W642" s="45" t="str">
        <f>PROPER(TRIM(Table13232[[#This Row],[Horse]]))</f>
        <v>Meridiana</v>
      </c>
    </row>
    <row r="643" spans="1:25" x14ac:dyDescent="0.25">
      <c r="A643" s="43">
        <v>45976</v>
      </c>
      <c r="B643" s="44">
        <v>0.62152777777777779</v>
      </c>
      <c r="C643" s="44" t="s">
        <v>38</v>
      </c>
      <c r="D643" s="45">
        <v>5</v>
      </c>
      <c r="E643" s="45">
        <v>8</v>
      </c>
      <c r="F643" s="46" t="s">
        <v>347</v>
      </c>
      <c r="G643" s="46" t="s">
        <v>23</v>
      </c>
      <c r="H643" s="47"/>
      <c r="I643" s="47" t="s">
        <v>298</v>
      </c>
      <c r="J643" s="45" t="str">
        <f>VLOOKUP(Table13232[[#This Row],[Track]],$C$836:$E$882,2,FALSE)</f>
        <v>NSW</v>
      </c>
      <c r="K643" s="49">
        <v>100</v>
      </c>
      <c r="L643" s="45" t="str">
        <f>IF(Table13232[[#This Row],[Fin]]&lt;&gt;"1st","",Table13232[[#This Row],[Div]]*Table13232[[#This Row],[Lev Bet]])</f>
        <v/>
      </c>
      <c r="M643" s="45">
        <f>IF(Table13232[[#This Row],[Lev Ret]]="",Table13232[[#This Row],[Lev Bet]]*-1,L643-K643)</f>
        <v>-100</v>
      </c>
      <c r="N643" s="135">
        <v>150</v>
      </c>
      <c r="O643" s="135" t="str">
        <f>IF(Table13232[[#This Row],[Fin]]&lt;&gt;"1st","",Table13232[[#This Row],[Div]]*Table13232[[#This Row],[Nat and Combo Bet]])</f>
        <v/>
      </c>
      <c r="P643" s="135">
        <f>IF(Table13232[[#This Row],[Lev Ret]]="",Table13232[[#This Row],[Nat and Combo Bet]]*-1,O643-N643)</f>
        <v>-150</v>
      </c>
      <c r="Q643" s="50">
        <f t="shared" si="27"/>
        <v>1</v>
      </c>
      <c r="R643" s="50">
        <f>IF(AND(Q642=2,Q643=1),"",IF(Q643=2,(N643+N644)/2,IF(Table13232[[#This Row],[Dual Listing]]=1,Table13232[[#This Row],[Nat and Combo Bet]],11)))</f>
        <v>150</v>
      </c>
      <c r="S643" s="50" t="str">
        <f t="shared" si="28"/>
        <v/>
      </c>
      <c r="T643" s="50">
        <f t="shared" si="29"/>
        <v>-150</v>
      </c>
      <c r="U643" s="50" t="str">
        <f>IF(Table13232[[#This Row],[Date]]&lt;$U$4,"","Live")</f>
        <v>Live</v>
      </c>
      <c r="V643" s="45" t="str">
        <f>TEXT(Table13232[[#This Row],[Date]],"DDD")</f>
        <v>Sat</v>
      </c>
      <c r="W643" s="45" t="str">
        <f>PROPER(TRIM(Table13232[[#This Row],[Horse]]))</f>
        <v>Rotagilla</v>
      </c>
    </row>
    <row r="644" spans="1:25" x14ac:dyDescent="0.25">
      <c r="A644" s="43">
        <v>45976</v>
      </c>
      <c r="B644" s="44">
        <v>0.63194444444444442</v>
      </c>
      <c r="C644" s="44" t="s">
        <v>34</v>
      </c>
      <c r="D644" s="45">
        <v>6</v>
      </c>
      <c r="E644" s="45">
        <v>3</v>
      </c>
      <c r="F644" s="46" t="s">
        <v>242</v>
      </c>
      <c r="G644" s="46"/>
      <c r="H644" s="47"/>
      <c r="I644" s="47" t="s">
        <v>298</v>
      </c>
      <c r="J644" s="45" t="str">
        <f>VLOOKUP(Table13232[[#This Row],[Track]],$C$836:$E$882,2,FALSE)</f>
        <v>Vic</v>
      </c>
      <c r="K644" s="49">
        <v>100</v>
      </c>
      <c r="L644" s="45" t="str">
        <f>IF(Table13232[[#This Row],[Fin]]&lt;&gt;"1st","",Table13232[[#This Row],[Div]]*Table13232[[#This Row],[Lev Bet]])</f>
        <v/>
      </c>
      <c r="M644" s="45">
        <f>IF(Table13232[[#This Row],[Lev Ret]]="",Table13232[[#This Row],[Lev Bet]]*-1,L644-K644)</f>
        <v>-100</v>
      </c>
      <c r="N644" s="135">
        <v>100</v>
      </c>
      <c r="O644" s="135" t="str">
        <f>IF(Table13232[[#This Row],[Fin]]&lt;&gt;"1st","",Table13232[[#This Row],[Div]]*Table13232[[#This Row],[Nat and Combo Bet]])</f>
        <v/>
      </c>
      <c r="P644" s="135">
        <f>IF(Table13232[[#This Row],[Lev Ret]]="",Table13232[[#This Row],[Nat and Combo Bet]]*-1,O644-N644)</f>
        <v>-100</v>
      </c>
      <c r="Q644" s="50">
        <f t="shared" si="27"/>
        <v>1</v>
      </c>
      <c r="R644" s="50">
        <f>IF(AND(Q643=2,Q644=1),"",IF(Q644=2,(N644+N645)/2,IF(Table13232[[#This Row],[Dual Listing]]=1,Table13232[[#This Row],[Nat and Combo Bet]],11)))</f>
        <v>100</v>
      </c>
      <c r="S644" s="50" t="str">
        <f t="shared" si="28"/>
        <v/>
      </c>
      <c r="T644" s="50">
        <f t="shared" si="29"/>
        <v>-100</v>
      </c>
      <c r="U644" s="50" t="str">
        <f>IF(Table13232[[#This Row],[Date]]&lt;$U$4,"","Live")</f>
        <v>Live</v>
      </c>
      <c r="V644" s="45" t="str">
        <f>TEXT(Table13232[[#This Row],[Date]],"DDD")</f>
        <v>Sat</v>
      </c>
      <c r="W644" s="45" t="str">
        <f>PROPER(TRIM(Table13232[[#This Row],[Horse]]))</f>
        <v>Pop Award</v>
      </c>
    </row>
    <row r="645" spans="1:25" x14ac:dyDescent="0.25">
      <c r="A645" s="43">
        <v>45976</v>
      </c>
      <c r="B645" s="44">
        <v>0.63194444444444442</v>
      </c>
      <c r="C645" s="44" t="s">
        <v>34</v>
      </c>
      <c r="D645" s="45">
        <v>6</v>
      </c>
      <c r="E645" s="45">
        <v>8</v>
      </c>
      <c r="F645" s="46" t="s">
        <v>332</v>
      </c>
      <c r="G645" s="46"/>
      <c r="H645" s="47"/>
      <c r="I645" s="52" t="s">
        <v>297</v>
      </c>
      <c r="J645" s="45" t="str">
        <f>VLOOKUP(Table13232[[#This Row],[Track]],$C$836:$E$882,2,FALSE)</f>
        <v>Vic</v>
      </c>
      <c r="K645" s="49">
        <v>100</v>
      </c>
      <c r="L645" s="45" t="str">
        <f>IF(Table13232[[#This Row],[Fin]]&lt;&gt;"1st","",Table13232[[#This Row],[Div]]*Table13232[[#This Row],[Lev Bet]])</f>
        <v/>
      </c>
      <c r="M645" s="45">
        <f>IF(Table13232[[#This Row],[Lev Ret]]="",Table13232[[#This Row],[Lev Bet]]*-1,L645-K645)</f>
        <v>-100</v>
      </c>
      <c r="N645" s="135">
        <v>100</v>
      </c>
      <c r="O645" s="135" t="str">
        <f>IF(Table13232[[#This Row],[Fin]]&lt;&gt;"1st","",Table13232[[#This Row],[Div]]*Table13232[[#This Row],[Nat and Combo Bet]])</f>
        <v/>
      </c>
      <c r="P645" s="135">
        <f>IF(Table13232[[#This Row],[Lev Ret]]="",Table13232[[#This Row],[Nat and Combo Bet]]*-1,O645-N645)</f>
        <v>-100</v>
      </c>
      <c r="Q645" s="50">
        <f t="shared" si="27"/>
        <v>1</v>
      </c>
      <c r="R645" s="50">
        <f>IF(AND(Q644=2,Q645=1),"",IF(Q645=2,(N645+N646)/2,IF(Table13232[[#This Row],[Dual Listing]]=1,Table13232[[#This Row],[Nat and Combo Bet]],11)))</f>
        <v>100</v>
      </c>
      <c r="S645" s="50" t="str">
        <f t="shared" si="28"/>
        <v/>
      </c>
      <c r="T645" s="50">
        <f t="shared" si="29"/>
        <v>-100</v>
      </c>
      <c r="U645" s="50" t="str">
        <f>IF(Table13232[[#This Row],[Date]]&lt;$U$4,"","Live")</f>
        <v>Live</v>
      </c>
      <c r="V645" s="45" t="str">
        <f>TEXT(Table13232[[#This Row],[Date]],"DDD")</f>
        <v>Sat</v>
      </c>
      <c r="W645" s="45" t="str">
        <f>PROPER(TRIM(Table13232[[#This Row],[Horse]]))</f>
        <v>Vestas</v>
      </c>
    </row>
    <row r="646" spans="1:25" x14ac:dyDescent="0.25">
      <c r="A646" s="43">
        <v>45976</v>
      </c>
      <c r="B646" s="44">
        <v>0.69791666666666663</v>
      </c>
      <c r="C646" s="44" t="s">
        <v>38</v>
      </c>
      <c r="D646" s="45">
        <v>8</v>
      </c>
      <c r="E646" s="45">
        <v>16</v>
      </c>
      <c r="F646" s="46" t="s">
        <v>115</v>
      </c>
      <c r="G646" s="46"/>
      <c r="H646" s="47"/>
      <c r="I646" s="52" t="s">
        <v>297</v>
      </c>
      <c r="J646" s="45" t="str">
        <f>VLOOKUP(Table13232[[#This Row],[Track]],$C$836:$E$882,2,FALSE)</f>
        <v>NSW</v>
      </c>
      <c r="K646" s="49">
        <v>100</v>
      </c>
      <c r="L646" s="45" t="str">
        <f>IF(Table13232[[#This Row],[Fin]]&lt;&gt;"1st","",Table13232[[#This Row],[Div]]*Table13232[[#This Row],[Lev Bet]])</f>
        <v/>
      </c>
      <c r="M646" s="45">
        <f>IF(Table13232[[#This Row],[Lev Ret]]="",Table13232[[#This Row],[Lev Bet]]*-1,L646-K646)</f>
        <v>-100</v>
      </c>
      <c r="N646" s="135">
        <v>100</v>
      </c>
      <c r="O646" s="135" t="str">
        <f>IF(Table13232[[#This Row],[Fin]]&lt;&gt;"1st","",Table13232[[#This Row],[Div]]*Table13232[[#This Row],[Nat and Combo Bet]])</f>
        <v/>
      </c>
      <c r="P646" s="135">
        <f>IF(Table13232[[#This Row],[Lev Ret]]="",Table13232[[#This Row],[Nat and Combo Bet]]*-1,O646-N646)</f>
        <v>-100</v>
      </c>
      <c r="Q646" s="50">
        <f t="shared" si="27"/>
        <v>1</v>
      </c>
      <c r="R646" s="50">
        <f>IF(AND(Q645=2,Q646=1),"",IF(Q646=2,(N646+N647)/2,IF(Table13232[[#This Row],[Dual Listing]]=1,Table13232[[#This Row],[Nat and Combo Bet]],11)))</f>
        <v>100</v>
      </c>
      <c r="S646" s="50" t="str">
        <f t="shared" si="28"/>
        <v/>
      </c>
      <c r="T646" s="50">
        <f t="shared" si="29"/>
        <v>-100</v>
      </c>
      <c r="U646" s="50" t="str">
        <f>IF(Table13232[[#This Row],[Date]]&lt;$U$4,"","Live")</f>
        <v>Live</v>
      </c>
      <c r="V646" s="45" t="str">
        <f>TEXT(Table13232[[#This Row],[Date]],"DDD")</f>
        <v>Sat</v>
      </c>
      <c r="W646" s="45" t="str">
        <f>PROPER(TRIM(Table13232[[#This Row],[Horse]]))</f>
        <v>Clear Thinking</v>
      </c>
    </row>
    <row r="647" spans="1:25" x14ac:dyDescent="0.25">
      <c r="A647" s="43">
        <v>45976</v>
      </c>
      <c r="B647" s="44">
        <v>0.72222222222222221</v>
      </c>
      <c r="C647" s="44" t="s">
        <v>38</v>
      </c>
      <c r="D647" s="45">
        <v>9</v>
      </c>
      <c r="E647" s="45">
        <v>6</v>
      </c>
      <c r="F647" s="46" t="s">
        <v>333</v>
      </c>
      <c r="G647" s="46"/>
      <c r="H647" s="47"/>
      <c r="I647" s="52" t="s">
        <v>297</v>
      </c>
      <c r="J647" s="45" t="str">
        <f>VLOOKUP(Table13232[[#This Row],[Track]],$C$836:$E$882,2,FALSE)</f>
        <v>NSW</v>
      </c>
      <c r="K647" s="49">
        <v>100</v>
      </c>
      <c r="L647" s="45" t="str">
        <f>IF(Table13232[[#This Row],[Fin]]&lt;&gt;"1st","",Table13232[[#This Row],[Div]]*Table13232[[#This Row],[Lev Bet]])</f>
        <v/>
      </c>
      <c r="M647" s="45">
        <f>IF(Table13232[[#This Row],[Lev Ret]]="",Table13232[[#This Row],[Lev Bet]]*-1,L647-K647)</f>
        <v>-100</v>
      </c>
      <c r="N647" s="135">
        <v>100</v>
      </c>
      <c r="O647" s="135" t="str">
        <f>IF(Table13232[[#This Row],[Fin]]&lt;&gt;"1st","",Table13232[[#This Row],[Div]]*Table13232[[#This Row],[Nat and Combo Bet]])</f>
        <v/>
      </c>
      <c r="P647" s="135">
        <f>IF(Table13232[[#This Row],[Lev Ret]]="",Table13232[[#This Row],[Nat and Combo Bet]]*-1,O647-N647)</f>
        <v>-100</v>
      </c>
      <c r="Q647" s="50">
        <f t="shared" ref="Q647:Q710" si="30">IF(AND(A648=A647,F648=F647),2,1)</f>
        <v>1</v>
      </c>
      <c r="R647" s="50">
        <f>IF(AND(Q646=2,Q647=1),"",IF(Q647=2,(N647+N648)/2,IF(Table13232[[#This Row],[Dual Listing]]=1,Table13232[[#This Row],[Nat and Combo Bet]],11)))</f>
        <v>100</v>
      </c>
      <c r="S647" s="50" t="str">
        <f t="shared" ref="S647:S710" si="31">IF(R647="","",IF(O647="","",R647*H647))</f>
        <v/>
      </c>
      <c r="T647" s="50">
        <f t="shared" ref="T647:T710" si="32">IF(R647="","",IF(S647="",R647*-1,S647-R647))</f>
        <v>-100</v>
      </c>
      <c r="U647" s="50" t="str">
        <f>IF(Table13232[[#This Row],[Date]]&lt;$U$4,"","Live")</f>
        <v>Live</v>
      </c>
      <c r="V647" s="45" t="str">
        <f>TEXT(Table13232[[#This Row],[Date]],"DDD")</f>
        <v>Sat</v>
      </c>
      <c r="W647" s="45" t="str">
        <f>PROPER(TRIM(Table13232[[#This Row],[Horse]]))</f>
        <v>Grand Pierro</v>
      </c>
    </row>
    <row r="648" spans="1:25" x14ac:dyDescent="0.25">
      <c r="A648" s="43">
        <v>45976</v>
      </c>
      <c r="B648" s="44">
        <v>0.73611111111111116</v>
      </c>
      <c r="C648" s="44" t="s">
        <v>34</v>
      </c>
      <c r="D648" s="45">
        <v>10</v>
      </c>
      <c r="E648" s="45">
        <v>7</v>
      </c>
      <c r="F648" s="46" t="s">
        <v>334</v>
      </c>
      <c r="G648" s="46" t="s">
        <v>21</v>
      </c>
      <c r="H648" s="47">
        <v>4.4000000000000004</v>
      </c>
      <c r="I648" s="52" t="s">
        <v>297</v>
      </c>
      <c r="J648" s="45" t="str">
        <f>VLOOKUP(Table13232[[#This Row],[Track]],$C$836:$E$882,2,FALSE)</f>
        <v>Vic</v>
      </c>
      <c r="K648" s="49">
        <v>100</v>
      </c>
      <c r="L648" s="45">
        <f>IF(Table13232[[#This Row],[Fin]]&lt;&gt;"1st","",Table13232[[#This Row],[Div]]*Table13232[[#This Row],[Lev Bet]])</f>
        <v>440.00000000000006</v>
      </c>
      <c r="M648" s="45">
        <f>IF(Table13232[[#This Row],[Lev Ret]]="",Table13232[[#This Row],[Lev Bet]]*-1,L648-K648)</f>
        <v>340.00000000000006</v>
      </c>
      <c r="N648" s="135">
        <v>100</v>
      </c>
      <c r="O648" s="135">
        <f>IF(Table13232[[#This Row],[Fin]]&lt;&gt;"1st","",Table13232[[#This Row],[Div]]*Table13232[[#This Row],[Nat and Combo Bet]])</f>
        <v>440.00000000000006</v>
      </c>
      <c r="P648" s="135">
        <f>IF(Table13232[[#This Row],[Lev Ret]]="",Table13232[[#This Row],[Nat and Combo Bet]]*-1,O648-N648)</f>
        <v>340.00000000000006</v>
      </c>
      <c r="Q648" s="50">
        <f t="shared" si="30"/>
        <v>1</v>
      </c>
      <c r="R648" s="50">
        <f>IF(AND(Q647=2,Q648=1),"",IF(Q648=2,(N648+N649)/2,IF(Table13232[[#This Row],[Dual Listing]]=1,Table13232[[#This Row],[Nat and Combo Bet]],11)))</f>
        <v>100</v>
      </c>
      <c r="S648" s="50">
        <f t="shared" si="31"/>
        <v>440.00000000000006</v>
      </c>
      <c r="T648" s="50">
        <f t="shared" si="32"/>
        <v>340.00000000000006</v>
      </c>
      <c r="U648" s="50" t="str">
        <f>IF(Table13232[[#This Row],[Date]]&lt;$U$4,"","Live")</f>
        <v>Live</v>
      </c>
      <c r="V648" s="45" t="str">
        <f>TEXT(Table13232[[#This Row],[Date]],"DDD")</f>
        <v>Sat</v>
      </c>
      <c r="W648" s="45" t="str">
        <f>PROPER(TRIM(Table13232[[#This Row],[Horse]]))</f>
        <v>Taken</v>
      </c>
    </row>
    <row r="649" spans="1:25" x14ac:dyDescent="0.25">
      <c r="A649" s="43">
        <v>45983</v>
      </c>
      <c r="B649" s="44">
        <v>0.58333333333333337</v>
      </c>
      <c r="C649" s="44" t="s">
        <v>282</v>
      </c>
      <c r="D649" s="45">
        <v>4</v>
      </c>
      <c r="E649" s="45">
        <v>7</v>
      </c>
      <c r="F649" s="46" t="s">
        <v>521</v>
      </c>
      <c r="G649" s="46" t="s">
        <v>21</v>
      </c>
      <c r="H649" s="47">
        <v>4.8</v>
      </c>
      <c r="I649" s="52" t="s">
        <v>297</v>
      </c>
      <c r="J649" s="45" t="str">
        <f>VLOOKUP(Table13232[[#This Row],[Track]],$C$836:$E$882,2,FALSE)</f>
        <v>Vic</v>
      </c>
      <c r="K649" s="49">
        <v>100</v>
      </c>
      <c r="L649" s="45">
        <f>IF(Table13232[[#This Row],[Fin]]&lt;&gt;"1st","",Table13232[[#This Row],[Div]]*Table13232[[#This Row],[Lev Bet]])</f>
        <v>480</v>
      </c>
      <c r="M649" s="45">
        <f>IF(Table13232[[#This Row],[Lev Ret]]="",Table13232[[#This Row],[Lev Bet]]*-1,L649-K649)</f>
        <v>380</v>
      </c>
      <c r="N649" s="135">
        <v>100</v>
      </c>
      <c r="O649" s="135">
        <f>IF(Table13232[[#This Row],[Fin]]&lt;&gt;"1st","",Table13232[[#This Row],[Div]]*Table13232[[#This Row],[Nat and Combo Bet]])</f>
        <v>480</v>
      </c>
      <c r="P649" s="135">
        <f>IF(Table13232[[#This Row],[Lev Ret]]="",Table13232[[#This Row],[Nat and Combo Bet]]*-1,O649-N649)</f>
        <v>380</v>
      </c>
      <c r="Q649" s="50">
        <f t="shared" si="30"/>
        <v>1</v>
      </c>
      <c r="R649" s="50">
        <f>IF(AND(Q648=2,Q649=1),"",IF(Q649=2,(N649+N650)/2,IF(Table13232[[#This Row],[Dual Listing]]=1,Table13232[[#This Row],[Nat and Combo Bet]],11)))</f>
        <v>100</v>
      </c>
      <c r="S649" s="50">
        <f t="shared" si="31"/>
        <v>480</v>
      </c>
      <c r="T649" s="50">
        <f t="shared" si="32"/>
        <v>380</v>
      </c>
      <c r="U649" s="50" t="str">
        <f>IF(Table13232[[#This Row],[Date]]&lt;$U$4,"","Live")</f>
        <v>Live</v>
      </c>
      <c r="V649" s="45" t="str">
        <f>TEXT(Table13232[[#This Row],[Date]],"DDD")</f>
        <v>Sat</v>
      </c>
      <c r="W649" s="45" t="str">
        <f>PROPER(TRIM(Table13232[[#This Row],[Horse]]))</f>
        <v>Grid Girl</v>
      </c>
    </row>
    <row r="650" spans="1:25" x14ac:dyDescent="0.25">
      <c r="A650" s="109">
        <v>45983</v>
      </c>
      <c r="B650" s="53">
        <v>0.62152777777777779</v>
      </c>
      <c r="C650" s="110" t="s">
        <v>283</v>
      </c>
      <c r="D650" s="111">
        <v>5</v>
      </c>
      <c r="E650" s="111">
        <v>1</v>
      </c>
      <c r="F650" s="112" t="s">
        <v>522</v>
      </c>
      <c r="G650" s="112"/>
      <c r="H650" s="113"/>
      <c r="I650" s="114" t="s">
        <v>297</v>
      </c>
      <c r="J650" s="45" t="str">
        <f>VLOOKUP(Table13232[[#This Row],[Track]],$C$836:$E$882,2,FALSE)</f>
        <v>NSW</v>
      </c>
      <c r="K650" s="49">
        <v>100</v>
      </c>
      <c r="L650" s="45" t="str">
        <f>IF(Table13232[[#This Row],[Fin]]&lt;&gt;"1st","",Table13232[[#This Row],[Div]]*Table13232[[#This Row],[Lev Bet]])</f>
        <v/>
      </c>
      <c r="M650" s="45">
        <f>IF(Table13232[[#This Row],[Lev Ret]]="",Table13232[[#This Row],[Lev Bet]]*-1,L650-K650)</f>
        <v>-100</v>
      </c>
      <c r="N650" s="135">
        <v>200</v>
      </c>
      <c r="O650" s="135" t="str">
        <f>IF(Table13232[[#This Row],[Fin]]&lt;&gt;"1st","",Table13232[[#This Row],[Div]]*Table13232[[#This Row],[Nat and Combo Bet]])</f>
        <v/>
      </c>
      <c r="P650" s="135">
        <f>IF(Table13232[[#This Row],[Lev Ret]]="",Table13232[[#This Row],[Nat and Combo Bet]]*-1,O650-N650)</f>
        <v>-200</v>
      </c>
      <c r="Q650" s="50">
        <f t="shared" si="30"/>
        <v>2</v>
      </c>
      <c r="R650" s="50">
        <f>IF(AND(Q649=2,Q650=1),"",IF(Q650=2,(N650+N651)/2,IF(Table13232[[#This Row],[Dual Listing]]=1,Table13232[[#This Row],[Nat and Combo Bet]],11)))</f>
        <v>175</v>
      </c>
      <c r="S650" s="50" t="str">
        <f t="shared" si="31"/>
        <v/>
      </c>
      <c r="T650" s="50">
        <f t="shared" si="32"/>
        <v>-175</v>
      </c>
      <c r="U650" s="50" t="str">
        <f>IF(Table13232[[#This Row],[Date]]&lt;$U$4,"","Live")</f>
        <v>Live</v>
      </c>
      <c r="V650" s="45" t="str">
        <f>TEXT(Table13232[[#This Row],[Date]],"DDD")</f>
        <v>Sat</v>
      </c>
      <c r="W650" s="45" t="str">
        <f>PROPER(TRIM(Table13232[[#This Row],[Horse]]))</f>
        <v>Hurstville Zagreb</v>
      </c>
    </row>
    <row r="651" spans="1:25" ht="16.5" customHeight="1" x14ac:dyDescent="0.25">
      <c r="A651" s="109">
        <v>45983</v>
      </c>
      <c r="B651" s="53">
        <v>0.62152777777777779</v>
      </c>
      <c r="C651" s="110" t="s">
        <v>283</v>
      </c>
      <c r="D651" s="111">
        <v>5</v>
      </c>
      <c r="E651" s="111">
        <v>1</v>
      </c>
      <c r="F651" s="112" t="s">
        <v>522</v>
      </c>
      <c r="G651" s="112"/>
      <c r="H651" s="113"/>
      <c r="I651" s="113" t="s">
        <v>298</v>
      </c>
      <c r="J651" s="45" t="str">
        <f>VLOOKUP(Table13232[[#This Row],[Track]],$C$836:$E$882,2,FALSE)</f>
        <v>NSW</v>
      </c>
      <c r="K651" s="49">
        <v>100</v>
      </c>
      <c r="L651" s="45" t="str">
        <f>IF(Table13232[[#This Row],[Fin]]&lt;&gt;"1st","",Table13232[[#This Row],[Div]]*Table13232[[#This Row],[Lev Bet]])</f>
        <v/>
      </c>
      <c r="M651" s="45">
        <f>IF(Table13232[[#This Row],[Lev Ret]]="",Table13232[[#This Row],[Lev Bet]]*-1,L651-K651)</f>
        <v>-100</v>
      </c>
      <c r="N651" s="135">
        <v>150</v>
      </c>
      <c r="O651" s="135" t="str">
        <f>IF(Table13232[[#This Row],[Fin]]&lt;&gt;"1st","",Table13232[[#This Row],[Div]]*Table13232[[#This Row],[Nat and Combo Bet]])</f>
        <v/>
      </c>
      <c r="P651" s="135">
        <f>IF(Table13232[[#This Row],[Lev Ret]]="",Table13232[[#This Row],[Nat and Combo Bet]]*-1,O651-N651)</f>
        <v>-150</v>
      </c>
      <c r="Q651" s="50">
        <f t="shared" si="30"/>
        <v>1</v>
      </c>
      <c r="R651" s="50" t="str">
        <f>IF(AND(Q650=2,Q651=1),"",IF(Q651=2,(N651+N652)/2,IF(Table13232[[#This Row],[Dual Listing]]=1,Table13232[[#This Row],[Nat and Combo Bet]],11)))</f>
        <v/>
      </c>
      <c r="S651" s="50" t="str">
        <f t="shared" si="31"/>
        <v/>
      </c>
      <c r="T651" s="50" t="str">
        <f t="shared" si="32"/>
        <v/>
      </c>
      <c r="U651" s="50" t="str">
        <f>IF(Table13232[[#This Row],[Date]]&lt;$U$4,"","Live")</f>
        <v>Live</v>
      </c>
      <c r="V651" s="45" t="str">
        <f>TEXT(Table13232[[#This Row],[Date]],"DDD")</f>
        <v>Sat</v>
      </c>
      <c r="W651" s="45" t="str">
        <f>PROPER(TRIM(Table13232[[#This Row],[Horse]]))</f>
        <v>Hurstville Zagreb</v>
      </c>
      <c r="X651" s="34"/>
      <c r="Y651" s="34"/>
    </row>
    <row r="652" spans="1:25" x14ac:dyDescent="0.25">
      <c r="A652" s="43">
        <v>45983</v>
      </c>
      <c r="B652" s="44">
        <v>0.63194444444444442</v>
      </c>
      <c r="C652" s="44" t="s">
        <v>282</v>
      </c>
      <c r="D652" s="45">
        <v>5</v>
      </c>
      <c r="E652" s="45">
        <v>8</v>
      </c>
      <c r="F652" s="46" t="s">
        <v>523</v>
      </c>
      <c r="G652" s="46"/>
      <c r="H652" s="47"/>
      <c r="I652" s="52" t="s">
        <v>297</v>
      </c>
      <c r="J652" s="45" t="str">
        <f>VLOOKUP(Table13232[[#This Row],[Track]],$C$836:$E$882,2,FALSE)</f>
        <v>Vic</v>
      </c>
      <c r="K652" s="49">
        <v>100</v>
      </c>
      <c r="L652" s="45" t="str">
        <f>IF(Table13232[[#This Row],[Fin]]&lt;&gt;"1st","",Table13232[[#This Row],[Div]]*Table13232[[#This Row],[Lev Bet]])</f>
        <v/>
      </c>
      <c r="M652" s="45">
        <f>IF(Table13232[[#This Row],[Lev Ret]]="",Table13232[[#This Row],[Lev Bet]]*-1,L652-K652)</f>
        <v>-100</v>
      </c>
      <c r="N652" s="135">
        <v>100</v>
      </c>
      <c r="O652" s="135" t="str">
        <f>IF(Table13232[[#This Row],[Fin]]&lt;&gt;"1st","",Table13232[[#This Row],[Div]]*Table13232[[#This Row],[Nat and Combo Bet]])</f>
        <v/>
      </c>
      <c r="P652" s="135">
        <f>IF(Table13232[[#This Row],[Lev Ret]]="",Table13232[[#This Row],[Nat and Combo Bet]]*-1,O652-N652)</f>
        <v>-100</v>
      </c>
      <c r="Q652" s="50">
        <f t="shared" si="30"/>
        <v>1</v>
      </c>
      <c r="R652" s="50">
        <f>IF(AND(Q651=2,Q652=1),"",IF(Q652=2,(N652+N653)/2,IF(Table13232[[#This Row],[Dual Listing]]=1,Table13232[[#This Row],[Nat and Combo Bet]],11)))</f>
        <v>100</v>
      </c>
      <c r="S652" s="50" t="str">
        <f t="shared" si="31"/>
        <v/>
      </c>
      <c r="T652" s="50">
        <f t="shared" si="32"/>
        <v>-100</v>
      </c>
      <c r="U652" s="50" t="str">
        <f>IF(Table13232[[#This Row],[Date]]&lt;$U$4,"","Live")</f>
        <v>Live</v>
      </c>
      <c r="V652" s="45" t="str">
        <f>TEXT(Table13232[[#This Row],[Date]],"DDD")</f>
        <v>Sat</v>
      </c>
      <c r="W652" s="45" t="str">
        <f>PROPER(TRIM(Table13232[[#This Row],[Horse]]))</f>
        <v>Hurry Curry</v>
      </c>
    </row>
    <row r="653" spans="1:25" x14ac:dyDescent="0.25">
      <c r="A653" s="43">
        <v>45983</v>
      </c>
      <c r="B653" s="44">
        <v>0.63194444444444442</v>
      </c>
      <c r="C653" s="44" t="s">
        <v>282</v>
      </c>
      <c r="D653" s="45">
        <v>5</v>
      </c>
      <c r="E653" s="45">
        <v>5</v>
      </c>
      <c r="F653" s="46" t="s">
        <v>337</v>
      </c>
      <c r="G653" s="46"/>
      <c r="H653" s="47"/>
      <c r="I653" s="52" t="s">
        <v>297</v>
      </c>
      <c r="J653" s="45" t="str">
        <f>VLOOKUP(Table13232[[#This Row],[Track]],$C$836:$E$882,2,FALSE)</f>
        <v>Vic</v>
      </c>
      <c r="K653" s="49">
        <v>100</v>
      </c>
      <c r="L653" s="45" t="str">
        <f>IF(Table13232[[#This Row],[Fin]]&lt;&gt;"1st","",Table13232[[#This Row],[Div]]*Table13232[[#This Row],[Lev Bet]])</f>
        <v/>
      </c>
      <c r="M653" s="45">
        <f>IF(Table13232[[#This Row],[Lev Ret]]="",Table13232[[#This Row],[Lev Bet]]*-1,L653-K653)</f>
        <v>-100</v>
      </c>
      <c r="N653" s="135">
        <v>100</v>
      </c>
      <c r="O653" s="135" t="str">
        <f>IF(Table13232[[#This Row],[Fin]]&lt;&gt;"1st","",Table13232[[#This Row],[Div]]*Table13232[[#This Row],[Nat and Combo Bet]])</f>
        <v/>
      </c>
      <c r="P653" s="135">
        <f>IF(Table13232[[#This Row],[Lev Ret]]="",Table13232[[#This Row],[Nat and Combo Bet]]*-1,O653-N653)</f>
        <v>-100</v>
      </c>
      <c r="Q653" s="50">
        <f t="shared" si="30"/>
        <v>1</v>
      </c>
      <c r="R653" s="50">
        <f>IF(AND(Q652=2,Q653=1),"",IF(Q653=2,(N653+N654)/2,IF(Table13232[[#This Row],[Dual Listing]]=1,Table13232[[#This Row],[Nat and Combo Bet]],11)))</f>
        <v>100</v>
      </c>
      <c r="S653" s="50" t="str">
        <f t="shared" si="31"/>
        <v/>
      </c>
      <c r="T653" s="50">
        <f t="shared" si="32"/>
        <v>-100</v>
      </c>
      <c r="U653" s="50" t="str">
        <f>IF(Table13232[[#This Row],[Date]]&lt;$U$4,"","Live")</f>
        <v>Live</v>
      </c>
      <c r="V653" s="45" t="str">
        <f>TEXT(Table13232[[#This Row],[Date]],"DDD")</f>
        <v>Sat</v>
      </c>
      <c r="W653" s="45" t="str">
        <f>PROPER(TRIM(Table13232[[#This Row],[Horse]]))</f>
        <v>Shockletz</v>
      </c>
    </row>
    <row r="654" spans="1:25" x14ac:dyDescent="0.25">
      <c r="A654" s="43">
        <v>45983</v>
      </c>
      <c r="B654" s="44">
        <v>0.65625</v>
      </c>
      <c r="C654" s="44" t="s">
        <v>282</v>
      </c>
      <c r="D654" s="45">
        <v>7</v>
      </c>
      <c r="E654" s="45">
        <v>1</v>
      </c>
      <c r="F654" s="46" t="s">
        <v>112</v>
      </c>
      <c r="G654" s="46"/>
      <c r="H654" s="47"/>
      <c r="I654" s="52" t="s">
        <v>297</v>
      </c>
      <c r="J654" s="45" t="str">
        <f>VLOOKUP(Table13232[[#This Row],[Track]],$C$836:$E$882,2,FALSE)</f>
        <v>Vic</v>
      </c>
      <c r="K654" s="49">
        <v>100</v>
      </c>
      <c r="L654" s="45" t="str">
        <f>IF(Table13232[[#This Row],[Fin]]&lt;&gt;"1st","",Table13232[[#This Row],[Div]]*Table13232[[#This Row],[Lev Bet]])</f>
        <v/>
      </c>
      <c r="M654" s="45">
        <f>IF(Table13232[[#This Row],[Lev Ret]]="",Table13232[[#This Row],[Lev Bet]]*-1,L654-K654)</f>
        <v>-100</v>
      </c>
      <c r="N654" s="135">
        <v>150</v>
      </c>
      <c r="O654" s="135" t="str">
        <f>IF(Table13232[[#This Row],[Fin]]&lt;&gt;"1st","",Table13232[[#This Row],[Div]]*Table13232[[#This Row],[Nat and Combo Bet]])</f>
        <v/>
      </c>
      <c r="P654" s="135">
        <f>IF(Table13232[[#This Row],[Lev Ret]]="",Table13232[[#This Row],[Nat and Combo Bet]]*-1,O654-N654)</f>
        <v>-150</v>
      </c>
      <c r="Q654" s="50">
        <f t="shared" si="30"/>
        <v>1</v>
      </c>
      <c r="R654" s="50">
        <f>IF(AND(Q653=2,Q654=1),"",IF(Q654=2,(N654+N655)/2,IF(Table13232[[#This Row],[Dual Listing]]=1,Table13232[[#This Row],[Nat and Combo Bet]],11)))</f>
        <v>150</v>
      </c>
      <c r="S654" s="50" t="str">
        <f t="shared" si="31"/>
        <v/>
      </c>
      <c r="T654" s="50">
        <f t="shared" si="32"/>
        <v>-150</v>
      </c>
      <c r="U654" s="50" t="str">
        <f>IF(Table13232[[#This Row],[Date]]&lt;$U$4,"","Live")</f>
        <v>Live</v>
      </c>
      <c r="V654" s="45" t="str">
        <f>TEXT(Table13232[[#This Row],[Date]],"DDD")</f>
        <v>Sat</v>
      </c>
      <c r="W654" s="45" t="str">
        <f>PROPER(TRIM(Table13232[[#This Row],[Horse]]))</f>
        <v>Mytemptation</v>
      </c>
    </row>
    <row r="655" spans="1:25" x14ac:dyDescent="0.25">
      <c r="A655" s="43">
        <v>45983</v>
      </c>
      <c r="B655" s="44">
        <v>0.68402777777777779</v>
      </c>
      <c r="C655" s="44" t="s">
        <v>282</v>
      </c>
      <c r="D655" s="45">
        <v>8</v>
      </c>
      <c r="E655" s="45">
        <v>15</v>
      </c>
      <c r="F655" s="46" t="s">
        <v>340</v>
      </c>
      <c r="G655" s="46" t="s">
        <v>21</v>
      </c>
      <c r="H655" s="47">
        <v>3.4</v>
      </c>
      <c r="I655" s="52" t="s">
        <v>297</v>
      </c>
      <c r="J655" s="45" t="str">
        <f>VLOOKUP(Table13232[[#This Row],[Track]],$C$836:$E$882,2,FALSE)</f>
        <v>Vic</v>
      </c>
      <c r="K655" s="49">
        <v>100</v>
      </c>
      <c r="L655" s="45">
        <f>IF(Table13232[[#This Row],[Fin]]&lt;&gt;"1st","",Table13232[[#This Row],[Div]]*Table13232[[#This Row],[Lev Bet]])</f>
        <v>340</v>
      </c>
      <c r="M655" s="45">
        <f>IF(Table13232[[#This Row],[Lev Ret]]="",Table13232[[#This Row],[Lev Bet]]*-1,L655-K655)</f>
        <v>240</v>
      </c>
      <c r="N655" s="135">
        <v>150</v>
      </c>
      <c r="O655" s="135">
        <f>IF(Table13232[[#This Row],[Fin]]&lt;&gt;"1st","",Table13232[[#This Row],[Div]]*Table13232[[#This Row],[Nat and Combo Bet]])</f>
        <v>510</v>
      </c>
      <c r="P655" s="135">
        <f>IF(Table13232[[#This Row],[Lev Ret]]="",Table13232[[#This Row],[Nat and Combo Bet]]*-1,O655-N655)</f>
        <v>360</v>
      </c>
      <c r="Q655" s="50">
        <f t="shared" si="30"/>
        <v>1</v>
      </c>
      <c r="R655" s="50">
        <f>IF(AND(Q654=2,Q655=1),"",IF(Q655=2,(N655+N656)/2,IF(Table13232[[#This Row],[Dual Listing]]=1,Table13232[[#This Row],[Nat and Combo Bet]],11)))</f>
        <v>150</v>
      </c>
      <c r="S655" s="50">
        <f t="shared" si="31"/>
        <v>510</v>
      </c>
      <c r="T655" s="50">
        <f t="shared" si="32"/>
        <v>360</v>
      </c>
      <c r="U655" s="50" t="str">
        <f>IF(Table13232[[#This Row],[Date]]&lt;$U$4,"","Live")</f>
        <v>Live</v>
      </c>
      <c r="V655" s="45" t="str">
        <f>TEXT(Table13232[[#This Row],[Date]],"DDD")</f>
        <v>Sat</v>
      </c>
      <c r="W655" s="45" t="str">
        <f>PROPER(TRIM(Table13232[[#This Row],[Horse]]))</f>
        <v>Sabaj</v>
      </c>
    </row>
    <row r="656" spans="1:25" x14ac:dyDescent="0.25">
      <c r="A656" s="43">
        <v>45983</v>
      </c>
      <c r="B656" s="44">
        <v>0.73611111111111116</v>
      </c>
      <c r="C656" s="44" t="s">
        <v>282</v>
      </c>
      <c r="D656" s="45">
        <v>10</v>
      </c>
      <c r="E656" s="45">
        <v>5</v>
      </c>
      <c r="F656" s="46" t="s">
        <v>524</v>
      </c>
      <c r="G656" s="46"/>
      <c r="H656" s="47"/>
      <c r="I656" s="52" t="s">
        <v>297</v>
      </c>
      <c r="J656" s="45" t="str">
        <f>VLOOKUP(Table13232[[#This Row],[Track]],$C$836:$E$882,2,FALSE)</f>
        <v>Vic</v>
      </c>
      <c r="K656" s="49">
        <v>100</v>
      </c>
      <c r="L656" s="45" t="str">
        <f>IF(Table13232[[#This Row],[Fin]]&lt;&gt;"1st","",Table13232[[#This Row],[Div]]*Table13232[[#This Row],[Lev Bet]])</f>
        <v/>
      </c>
      <c r="M656" s="45">
        <f>IF(Table13232[[#This Row],[Lev Ret]]="",Table13232[[#This Row],[Lev Bet]]*-1,L656-K656)</f>
        <v>-100</v>
      </c>
      <c r="N656" s="135">
        <v>50</v>
      </c>
      <c r="O656" s="135" t="str">
        <f>IF(Table13232[[#This Row],[Fin]]&lt;&gt;"1st","",Table13232[[#This Row],[Div]]*Table13232[[#This Row],[Nat and Combo Bet]])</f>
        <v/>
      </c>
      <c r="P656" s="135">
        <f>IF(Table13232[[#This Row],[Lev Ret]]="",Table13232[[#This Row],[Nat and Combo Bet]]*-1,O656-N656)</f>
        <v>-50</v>
      </c>
      <c r="Q656" s="50">
        <f t="shared" si="30"/>
        <v>1</v>
      </c>
      <c r="R656" s="50">
        <f>IF(AND(Q655=2,Q656=1),"",IF(Q656=2,(N656+N657)/2,IF(Table13232[[#This Row],[Dual Listing]]=1,Table13232[[#This Row],[Nat and Combo Bet]],11)))</f>
        <v>50</v>
      </c>
      <c r="S656" s="50" t="str">
        <f t="shared" si="31"/>
        <v/>
      </c>
      <c r="T656" s="50">
        <f t="shared" si="32"/>
        <v>-50</v>
      </c>
      <c r="U656" s="50" t="str">
        <f>IF(Table13232[[#This Row],[Date]]&lt;$U$4,"","Live")</f>
        <v>Live</v>
      </c>
      <c r="V656" s="45" t="str">
        <f>TEXT(Table13232[[#This Row],[Date]],"DDD")</f>
        <v>Sat</v>
      </c>
      <c r="W656" s="45" t="str">
        <f>PROPER(TRIM(Table13232[[#This Row],[Horse]]))</f>
        <v>Demojo</v>
      </c>
    </row>
    <row r="657" spans="1:23" x14ac:dyDescent="0.25">
      <c r="A657" s="43">
        <v>45983</v>
      </c>
      <c r="B657" s="44">
        <v>0.74652777777777779</v>
      </c>
      <c r="C657" s="44" t="s">
        <v>283</v>
      </c>
      <c r="D657" s="45">
        <v>10</v>
      </c>
      <c r="E657" s="45">
        <v>6</v>
      </c>
      <c r="F657" s="46" t="s">
        <v>136</v>
      </c>
      <c r="G657" s="46" t="s">
        <v>21</v>
      </c>
      <c r="H657" s="47">
        <v>3.7</v>
      </c>
      <c r="I657" s="52" t="s">
        <v>297</v>
      </c>
      <c r="J657" s="45" t="str">
        <f>VLOOKUP(Table13232[[#This Row],[Track]],$C$836:$E$882,2,FALSE)</f>
        <v>NSW</v>
      </c>
      <c r="K657" s="49">
        <v>100</v>
      </c>
      <c r="L657" s="45">
        <f>IF(Table13232[[#This Row],[Fin]]&lt;&gt;"1st","",Table13232[[#This Row],[Div]]*Table13232[[#This Row],[Lev Bet]])</f>
        <v>370</v>
      </c>
      <c r="M657" s="45">
        <f>IF(Table13232[[#This Row],[Lev Ret]]="",Table13232[[#This Row],[Lev Bet]]*-1,L657-K657)</f>
        <v>270</v>
      </c>
      <c r="N657" s="135">
        <v>100</v>
      </c>
      <c r="O657" s="135">
        <f>IF(Table13232[[#This Row],[Fin]]&lt;&gt;"1st","",Table13232[[#This Row],[Div]]*Table13232[[#This Row],[Nat and Combo Bet]])</f>
        <v>370</v>
      </c>
      <c r="P657" s="135">
        <f>IF(Table13232[[#This Row],[Lev Ret]]="",Table13232[[#This Row],[Nat and Combo Bet]]*-1,O657-N657)</f>
        <v>270</v>
      </c>
      <c r="Q657" s="50">
        <f t="shared" si="30"/>
        <v>1</v>
      </c>
      <c r="R657" s="50">
        <f>IF(AND(Q656=2,Q657=1),"",IF(Q657=2,(N657+N658)/2,IF(Table13232[[#This Row],[Dual Listing]]=1,Table13232[[#This Row],[Nat and Combo Bet]],11)))</f>
        <v>100</v>
      </c>
      <c r="S657" s="50">
        <f t="shared" si="31"/>
        <v>370</v>
      </c>
      <c r="T657" s="50">
        <f t="shared" si="32"/>
        <v>270</v>
      </c>
      <c r="U657" s="50" t="str">
        <f>IF(Table13232[[#This Row],[Date]]&lt;$U$4,"","Live")</f>
        <v>Live</v>
      </c>
      <c r="V657" s="45" t="str">
        <f>TEXT(Table13232[[#This Row],[Date]],"DDD")</f>
        <v>Sat</v>
      </c>
      <c r="W657" s="45" t="str">
        <f>PROPER(TRIM(Table13232[[#This Row],[Horse]]))</f>
        <v>Midnight Dynamite</v>
      </c>
    </row>
    <row r="658" spans="1:23" x14ac:dyDescent="0.25">
      <c r="A658" s="43">
        <v>45990</v>
      </c>
      <c r="B658" s="44">
        <v>0.51388888888888884</v>
      </c>
      <c r="C658" s="44" t="s">
        <v>34</v>
      </c>
      <c r="D658" s="45">
        <v>1</v>
      </c>
      <c r="E658" s="45">
        <v>8</v>
      </c>
      <c r="F658" s="46" t="s">
        <v>527</v>
      </c>
      <c r="G658" s="46" t="s">
        <v>22</v>
      </c>
      <c r="H658" s="47"/>
      <c r="I658" s="52" t="s">
        <v>297</v>
      </c>
      <c r="J658" s="45" t="str">
        <f>VLOOKUP(Table13232[[#This Row],[Track]],$C$836:$E$882,2,FALSE)</f>
        <v>Vic</v>
      </c>
      <c r="K658" s="49">
        <v>100</v>
      </c>
      <c r="L658" s="45" t="str">
        <f>IF(Table13232[[#This Row],[Fin]]&lt;&gt;"1st","",Table13232[[#This Row],[Div]]*Table13232[[#This Row],[Lev Bet]])</f>
        <v/>
      </c>
      <c r="M658" s="45">
        <f>IF(Table13232[[#This Row],[Lev Ret]]="",Table13232[[#This Row],[Lev Bet]]*-1,L658-K658)</f>
        <v>-100</v>
      </c>
      <c r="N658" s="135">
        <v>100</v>
      </c>
      <c r="O658" s="135" t="str">
        <f>IF(Table13232[[#This Row],[Fin]]&lt;&gt;"1st","",Table13232[[#This Row],[Div]]*Table13232[[#This Row],[Nat and Combo Bet]])</f>
        <v/>
      </c>
      <c r="P658" s="135">
        <f>IF(Table13232[[#This Row],[Lev Ret]]="",Table13232[[#This Row],[Nat and Combo Bet]]*-1,O658-N658)</f>
        <v>-100</v>
      </c>
      <c r="Q658" s="50">
        <f t="shared" si="30"/>
        <v>1</v>
      </c>
      <c r="R658" s="50">
        <f>IF(AND(Q657=2,Q658=1),"",IF(Q658=2,(N658+N659)/2,IF(Table13232[[#This Row],[Dual Listing]]=1,Table13232[[#This Row],[Nat and Combo Bet]],11)))</f>
        <v>100</v>
      </c>
      <c r="S658" s="50" t="str">
        <f t="shared" si="31"/>
        <v/>
      </c>
      <c r="T658" s="50">
        <f t="shared" si="32"/>
        <v>-100</v>
      </c>
      <c r="U658" s="50" t="str">
        <f>IF(Table13232[[#This Row],[Date]]&lt;$U$4,"","Live")</f>
        <v>Live</v>
      </c>
      <c r="V658" s="45" t="str">
        <f>TEXT(Table13232[[#This Row],[Date]],"DDD")</f>
        <v>Sat</v>
      </c>
      <c r="W658" s="45" t="str">
        <f>PROPER(TRIM(Table13232[[#This Row],[Horse]]))</f>
        <v>Tikemyson</v>
      </c>
    </row>
    <row r="659" spans="1:23" x14ac:dyDescent="0.25">
      <c r="A659" s="43">
        <v>45990</v>
      </c>
      <c r="B659" s="44">
        <v>0.5541666666666667</v>
      </c>
      <c r="C659" s="44" t="s">
        <v>9</v>
      </c>
      <c r="D659" s="45">
        <v>2</v>
      </c>
      <c r="E659" s="45">
        <v>9</v>
      </c>
      <c r="F659" s="46" t="s">
        <v>530</v>
      </c>
      <c r="G659" s="46" t="s">
        <v>23</v>
      </c>
      <c r="H659" s="47"/>
      <c r="I659" s="47" t="s">
        <v>298</v>
      </c>
      <c r="J659" s="45" t="str">
        <f>VLOOKUP(Table13232[[#This Row],[Track]],$C$836:$E$882,2,FALSE)</f>
        <v>Qld</v>
      </c>
      <c r="K659" s="49">
        <v>100</v>
      </c>
      <c r="L659" s="45" t="str">
        <f>IF(Table13232[[#This Row],[Fin]]&lt;&gt;"1st","",Table13232[[#This Row],[Div]]*Table13232[[#This Row],[Lev Bet]])</f>
        <v/>
      </c>
      <c r="M659" s="45">
        <f>IF(Table13232[[#This Row],[Lev Ret]]="",Table13232[[#This Row],[Lev Bet]]*-1,L659-K659)</f>
        <v>-100</v>
      </c>
      <c r="N659" s="135">
        <v>100</v>
      </c>
      <c r="O659" s="135" t="str">
        <f>IF(Table13232[[#This Row],[Fin]]&lt;&gt;"1st","",Table13232[[#This Row],[Div]]*Table13232[[#This Row],[Nat and Combo Bet]])</f>
        <v/>
      </c>
      <c r="P659" s="135">
        <f>IF(Table13232[[#This Row],[Lev Ret]]="",Table13232[[#This Row],[Nat and Combo Bet]]*-1,O659-N659)</f>
        <v>-100</v>
      </c>
      <c r="Q659" s="50">
        <f t="shared" si="30"/>
        <v>1</v>
      </c>
      <c r="R659" s="50">
        <f>IF(AND(Q658=2,Q659=1),"",IF(Q659=2,(N659+N660)/2,IF(Table13232[[#This Row],[Dual Listing]]=1,Table13232[[#This Row],[Nat and Combo Bet]],11)))</f>
        <v>100</v>
      </c>
      <c r="S659" s="50" t="str">
        <f t="shared" si="31"/>
        <v/>
      </c>
      <c r="T659" s="50">
        <f t="shared" si="32"/>
        <v>-100</v>
      </c>
      <c r="U659" s="50" t="str">
        <f>IF(Table13232[[#This Row],[Date]]&lt;$U$4,"","Live")</f>
        <v>Live</v>
      </c>
      <c r="V659" s="45" t="str">
        <f>TEXT(Table13232[[#This Row],[Date]],"DDD")</f>
        <v>Sat</v>
      </c>
      <c r="W659" s="45" t="str">
        <f>PROPER(TRIM(Table13232[[#This Row],[Horse]]))</f>
        <v>Amahnis Girl</v>
      </c>
    </row>
    <row r="660" spans="1:23" x14ac:dyDescent="0.25">
      <c r="A660" s="43">
        <v>45990</v>
      </c>
      <c r="B660" s="44">
        <v>0.60277777777777775</v>
      </c>
      <c r="C660" s="44" t="s">
        <v>9</v>
      </c>
      <c r="D660" s="45">
        <v>4</v>
      </c>
      <c r="E660" s="45">
        <v>10</v>
      </c>
      <c r="F660" s="46" t="s">
        <v>531</v>
      </c>
      <c r="G660" s="46" t="s">
        <v>22</v>
      </c>
      <c r="H660" s="47"/>
      <c r="I660" s="47" t="s">
        <v>298</v>
      </c>
      <c r="J660" s="45" t="str">
        <f>VLOOKUP(Table13232[[#This Row],[Track]],$C$836:$E$882,2,FALSE)</f>
        <v>Qld</v>
      </c>
      <c r="K660" s="49">
        <v>100</v>
      </c>
      <c r="L660" s="45" t="str">
        <f>IF(Table13232[[#This Row],[Fin]]&lt;&gt;"1st","",Table13232[[#This Row],[Div]]*Table13232[[#This Row],[Lev Bet]])</f>
        <v/>
      </c>
      <c r="M660" s="45">
        <f>IF(Table13232[[#This Row],[Lev Ret]]="",Table13232[[#This Row],[Lev Bet]]*-1,L660-K660)</f>
        <v>-100</v>
      </c>
      <c r="N660" s="135">
        <v>100</v>
      </c>
      <c r="O660" s="135" t="str">
        <f>IF(Table13232[[#This Row],[Fin]]&lt;&gt;"1st","",Table13232[[#This Row],[Div]]*Table13232[[#This Row],[Nat and Combo Bet]])</f>
        <v/>
      </c>
      <c r="P660" s="135">
        <f>IF(Table13232[[#This Row],[Lev Ret]]="",Table13232[[#This Row],[Nat and Combo Bet]]*-1,O660-N660)</f>
        <v>-100</v>
      </c>
      <c r="Q660" s="50">
        <f t="shared" si="30"/>
        <v>1</v>
      </c>
      <c r="R660" s="50">
        <f>IF(AND(Q659=2,Q660=1),"",IF(Q660=2,(N660+N661)/2,IF(Table13232[[#This Row],[Dual Listing]]=1,Table13232[[#This Row],[Nat and Combo Bet]],11)))</f>
        <v>100</v>
      </c>
      <c r="S660" s="50" t="str">
        <f t="shared" si="31"/>
        <v/>
      </c>
      <c r="T660" s="50">
        <f t="shared" si="32"/>
        <v>-100</v>
      </c>
      <c r="U660" s="50" t="str">
        <f>IF(Table13232[[#This Row],[Date]]&lt;$U$4,"","Live")</f>
        <v>Live</v>
      </c>
      <c r="V660" s="45" t="str">
        <f>TEXT(Table13232[[#This Row],[Date]],"DDD")</f>
        <v>Sat</v>
      </c>
      <c r="W660" s="45" t="str">
        <f>PROPER(TRIM(Table13232[[#This Row],[Horse]]))</f>
        <v>Navyonthehighway</v>
      </c>
    </row>
    <row r="661" spans="1:23" x14ac:dyDescent="0.25">
      <c r="A661" s="43">
        <v>45990</v>
      </c>
      <c r="B661" s="44">
        <v>0.62152777777777779</v>
      </c>
      <c r="C661" s="44" t="s">
        <v>11</v>
      </c>
      <c r="D661" s="45">
        <v>5</v>
      </c>
      <c r="E661" s="45">
        <v>1</v>
      </c>
      <c r="F661" s="46" t="s">
        <v>528</v>
      </c>
      <c r="G661" s="46" t="s">
        <v>476</v>
      </c>
      <c r="H661" s="47"/>
      <c r="I661" s="52" t="s">
        <v>297</v>
      </c>
      <c r="J661" s="45" t="str">
        <f>VLOOKUP(Table13232[[#This Row],[Track]],$C$836:$E$882,2,FALSE)</f>
        <v>NSW</v>
      </c>
      <c r="K661" s="49">
        <v>100</v>
      </c>
      <c r="L661" s="45" t="str">
        <f>IF(Table13232[[#This Row],[Fin]]&lt;&gt;"1st","",Table13232[[#This Row],[Div]]*Table13232[[#This Row],[Lev Bet]])</f>
        <v/>
      </c>
      <c r="M661" s="45">
        <f>IF(Table13232[[#This Row],[Lev Ret]]="",Table13232[[#This Row],[Lev Bet]]*-1,L661-K661)</f>
        <v>-100</v>
      </c>
      <c r="N661" s="135">
        <v>100</v>
      </c>
      <c r="O661" s="135" t="str">
        <f>IF(Table13232[[#This Row],[Fin]]&lt;&gt;"1st","",Table13232[[#This Row],[Div]]*Table13232[[#This Row],[Nat and Combo Bet]])</f>
        <v/>
      </c>
      <c r="P661" s="135">
        <f>IF(Table13232[[#This Row],[Lev Ret]]="",Table13232[[#This Row],[Nat and Combo Bet]]*-1,O661-N661)</f>
        <v>-100</v>
      </c>
      <c r="Q661" s="50">
        <f t="shared" si="30"/>
        <v>1</v>
      </c>
      <c r="R661" s="50">
        <f>IF(AND(Q660=2,Q661=1),"",IF(Q661=2,(N661+N662)/2,IF(Table13232[[#This Row],[Dual Listing]]=1,Table13232[[#This Row],[Nat and Combo Bet]],11)))</f>
        <v>100</v>
      </c>
      <c r="S661" s="50" t="str">
        <f t="shared" si="31"/>
        <v/>
      </c>
      <c r="T661" s="50">
        <f t="shared" si="32"/>
        <v>-100</v>
      </c>
      <c r="U661" s="50" t="str">
        <f>IF(Table13232[[#This Row],[Date]]&lt;$U$4,"","Live")</f>
        <v>Live</v>
      </c>
      <c r="V661" s="45" t="str">
        <f>TEXT(Table13232[[#This Row],[Date]],"DDD")</f>
        <v>Sat</v>
      </c>
      <c r="W661" s="45" t="str">
        <f>PROPER(TRIM(Table13232[[#This Row],[Horse]]))</f>
        <v>King'S Secret</v>
      </c>
    </row>
    <row r="662" spans="1:23" x14ac:dyDescent="0.25">
      <c r="A662" s="43">
        <v>45990</v>
      </c>
      <c r="B662" s="44">
        <v>0.62152777777777779</v>
      </c>
      <c r="C662" s="44" t="s">
        <v>11</v>
      </c>
      <c r="D662" s="45">
        <v>5</v>
      </c>
      <c r="E662" s="45">
        <v>3</v>
      </c>
      <c r="F662" s="46" t="s">
        <v>344</v>
      </c>
      <c r="G662" s="46" t="s">
        <v>21</v>
      </c>
      <c r="H662" s="47">
        <v>1.7</v>
      </c>
      <c r="I662" s="47" t="s">
        <v>298</v>
      </c>
      <c r="J662" s="45" t="str">
        <f>VLOOKUP(Table13232[[#This Row],[Track]],$C$836:$E$882,2,FALSE)</f>
        <v>NSW</v>
      </c>
      <c r="K662" s="49">
        <v>100</v>
      </c>
      <c r="L662" s="45">
        <f>IF(Table13232[[#This Row],[Fin]]&lt;&gt;"1st","",Table13232[[#This Row],[Div]]*Table13232[[#This Row],[Lev Bet]])</f>
        <v>170</v>
      </c>
      <c r="M662" s="45">
        <f>IF(Table13232[[#This Row],[Lev Ret]]="",Table13232[[#This Row],[Lev Bet]]*-1,L662-K662)</f>
        <v>70</v>
      </c>
      <c r="N662" s="135">
        <v>150</v>
      </c>
      <c r="O662" s="135">
        <f>IF(Table13232[[#This Row],[Fin]]&lt;&gt;"1st","",Table13232[[#This Row],[Div]]*Table13232[[#This Row],[Nat and Combo Bet]])</f>
        <v>255</v>
      </c>
      <c r="P662" s="135">
        <f>IF(Table13232[[#This Row],[Lev Ret]]="",Table13232[[#This Row],[Nat and Combo Bet]]*-1,O662-N662)</f>
        <v>105</v>
      </c>
      <c r="Q662" s="50">
        <f t="shared" si="30"/>
        <v>1</v>
      </c>
      <c r="R662" s="50">
        <f>IF(AND(Q661=2,Q662=1),"",IF(Q662=2,(N662+N663)/2,IF(Table13232[[#This Row],[Dual Listing]]=1,Table13232[[#This Row],[Nat and Combo Bet]],11)))</f>
        <v>150</v>
      </c>
      <c r="S662" s="50">
        <f t="shared" si="31"/>
        <v>255</v>
      </c>
      <c r="T662" s="50">
        <f t="shared" si="32"/>
        <v>105</v>
      </c>
      <c r="U662" s="50" t="str">
        <f>IF(Table13232[[#This Row],[Date]]&lt;$U$4,"","Live")</f>
        <v>Live</v>
      </c>
      <c r="V662" s="45" t="str">
        <f>TEXT(Table13232[[#This Row],[Date]],"DDD")</f>
        <v>Sat</v>
      </c>
      <c r="W662" s="45" t="str">
        <f>PROPER(TRIM(Table13232[[#This Row],[Horse]]))</f>
        <v>Lyles</v>
      </c>
    </row>
    <row r="663" spans="1:23" x14ac:dyDescent="0.25">
      <c r="A663" s="43">
        <v>45990</v>
      </c>
      <c r="B663" s="44">
        <v>0.62708333333333333</v>
      </c>
      <c r="C663" s="44" t="s">
        <v>9</v>
      </c>
      <c r="D663" s="45">
        <v>5</v>
      </c>
      <c r="E663" s="45">
        <v>9</v>
      </c>
      <c r="F663" s="46" t="s">
        <v>532</v>
      </c>
      <c r="G663" s="46" t="s">
        <v>21</v>
      </c>
      <c r="H663" s="47">
        <v>1.65</v>
      </c>
      <c r="I663" s="47" t="s">
        <v>298</v>
      </c>
      <c r="J663" s="45" t="str">
        <f>VLOOKUP(Table13232[[#This Row],[Track]],$C$836:$E$882,2,FALSE)</f>
        <v>Qld</v>
      </c>
      <c r="K663" s="49">
        <v>100</v>
      </c>
      <c r="L663" s="45">
        <f>IF(Table13232[[#This Row],[Fin]]&lt;&gt;"1st","",Table13232[[#This Row],[Div]]*Table13232[[#This Row],[Lev Bet]])</f>
        <v>165</v>
      </c>
      <c r="M663" s="45">
        <f>IF(Table13232[[#This Row],[Lev Ret]]="",Table13232[[#This Row],[Lev Bet]]*-1,L663-K663)</f>
        <v>65</v>
      </c>
      <c r="N663" s="135">
        <v>100</v>
      </c>
      <c r="O663" s="135">
        <f>IF(Table13232[[#This Row],[Fin]]&lt;&gt;"1st","",Table13232[[#This Row],[Div]]*Table13232[[#This Row],[Nat and Combo Bet]])</f>
        <v>165</v>
      </c>
      <c r="P663" s="135">
        <f>IF(Table13232[[#This Row],[Lev Ret]]="",Table13232[[#This Row],[Nat and Combo Bet]]*-1,O663-N663)</f>
        <v>65</v>
      </c>
      <c r="Q663" s="50">
        <f t="shared" si="30"/>
        <v>1</v>
      </c>
      <c r="R663" s="50">
        <f>IF(AND(Q662=2,Q663=1),"",IF(Q663=2,(N663+N664)/2,IF(Table13232[[#This Row],[Dual Listing]]=1,Table13232[[#This Row],[Nat and Combo Bet]],11)))</f>
        <v>100</v>
      </c>
      <c r="S663" s="50">
        <f t="shared" si="31"/>
        <v>165</v>
      </c>
      <c r="T663" s="50">
        <f t="shared" si="32"/>
        <v>65</v>
      </c>
      <c r="U663" s="50" t="str">
        <f>IF(Table13232[[#This Row],[Date]]&lt;$U$4,"","Live")</f>
        <v>Live</v>
      </c>
      <c r="V663" s="45" t="str">
        <f>TEXT(Table13232[[#This Row],[Date]],"DDD")</f>
        <v>Sat</v>
      </c>
      <c r="W663" s="45" t="str">
        <f>PROPER(TRIM(Table13232[[#This Row],[Horse]]))</f>
        <v>Balance The Books</v>
      </c>
    </row>
    <row r="664" spans="1:23" x14ac:dyDescent="0.25">
      <c r="A664" s="43">
        <v>45990</v>
      </c>
      <c r="B664" s="44">
        <v>0.65138888888888891</v>
      </c>
      <c r="C664" s="44" t="s">
        <v>9</v>
      </c>
      <c r="D664" s="45">
        <v>6</v>
      </c>
      <c r="E664" s="45">
        <v>12</v>
      </c>
      <c r="F664" s="46" t="s">
        <v>533</v>
      </c>
      <c r="G664" s="46" t="s">
        <v>23</v>
      </c>
      <c r="H664" s="47"/>
      <c r="I664" s="47" t="s">
        <v>298</v>
      </c>
      <c r="J664" s="45" t="str">
        <f>VLOOKUP(Table13232[[#This Row],[Track]],$C$836:$E$882,2,FALSE)</f>
        <v>Qld</v>
      </c>
      <c r="K664" s="49">
        <v>100</v>
      </c>
      <c r="L664" s="45" t="str">
        <f>IF(Table13232[[#This Row],[Fin]]&lt;&gt;"1st","",Table13232[[#This Row],[Div]]*Table13232[[#This Row],[Lev Bet]])</f>
        <v/>
      </c>
      <c r="M664" s="45">
        <f>IF(Table13232[[#This Row],[Lev Ret]]="",Table13232[[#This Row],[Lev Bet]]*-1,L664-K664)</f>
        <v>-100</v>
      </c>
      <c r="N664" s="135">
        <v>100</v>
      </c>
      <c r="O664" s="135" t="str">
        <f>IF(Table13232[[#This Row],[Fin]]&lt;&gt;"1st","",Table13232[[#This Row],[Div]]*Table13232[[#This Row],[Nat and Combo Bet]])</f>
        <v/>
      </c>
      <c r="P664" s="135">
        <f>IF(Table13232[[#This Row],[Lev Ret]]="",Table13232[[#This Row],[Nat and Combo Bet]]*-1,O664-N664)</f>
        <v>-100</v>
      </c>
      <c r="Q664" s="50">
        <f t="shared" si="30"/>
        <v>1</v>
      </c>
      <c r="R664" s="50">
        <f>IF(AND(Q663=2,Q664=1),"",IF(Q664=2,(N664+N665)/2,IF(Table13232[[#This Row],[Dual Listing]]=1,Table13232[[#This Row],[Nat and Combo Bet]],11)))</f>
        <v>100</v>
      </c>
      <c r="S664" s="50" t="str">
        <f t="shared" si="31"/>
        <v/>
      </c>
      <c r="T664" s="50">
        <f t="shared" si="32"/>
        <v>-100</v>
      </c>
      <c r="U664" s="50" t="str">
        <f>IF(Table13232[[#This Row],[Date]]&lt;$U$4,"","Live")</f>
        <v>Live</v>
      </c>
      <c r="V664" s="45" t="str">
        <f>TEXT(Table13232[[#This Row],[Date]],"DDD")</f>
        <v>Sat</v>
      </c>
      <c r="W664" s="45" t="str">
        <f>PROPER(TRIM(Table13232[[#This Row],[Horse]]))</f>
        <v>Now Is The Hour</v>
      </c>
    </row>
    <row r="665" spans="1:23" x14ac:dyDescent="0.25">
      <c r="A665" s="109">
        <v>45990</v>
      </c>
      <c r="B665" s="53">
        <v>0.65625</v>
      </c>
      <c r="C665" s="110" t="s">
        <v>34</v>
      </c>
      <c r="D665" s="111">
        <v>7</v>
      </c>
      <c r="E665" s="111">
        <v>5</v>
      </c>
      <c r="F665" s="112" t="s">
        <v>144</v>
      </c>
      <c r="G665" s="112"/>
      <c r="H665" s="113"/>
      <c r="I665" s="52" t="s">
        <v>297</v>
      </c>
      <c r="J665" s="45" t="str">
        <f>VLOOKUP(Table13232[[#This Row],[Track]],$C$836:$E$882,2,FALSE)</f>
        <v>Vic</v>
      </c>
      <c r="K665" s="49">
        <v>100</v>
      </c>
      <c r="L665" s="45" t="str">
        <f>IF(Table13232[[#This Row],[Fin]]&lt;&gt;"1st","",Table13232[[#This Row],[Div]]*Table13232[[#This Row],[Lev Bet]])</f>
        <v/>
      </c>
      <c r="M665" s="45">
        <f>IF(Table13232[[#This Row],[Lev Ret]]="",Table13232[[#This Row],[Lev Bet]]*-1,L665-K665)</f>
        <v>-100</v>
      </c>
      <c r="N665" s="135">
        <v>200</v>
      </c>
      <c r="O665" s="135" t="str">
        <f>IF(Table13232[[#This Row],[Fin]]&lt;&gt;"1st","",Table13232[[#This Row],[Div]]*Table13232[[#This Row],[Nat and Combo Bet]])</f>
        <v/>
      </c>
      <c r="P665" s="135">
        <f>IF(Table13232[[#This Row],[Lev Ret]]="",Table13232[[#This Row],[Nat and Combo Bet]]*-1,O665-N665)</f>
        <v>-200</v>
      </c>
      <c r="Q665" s="50">
        <f t="shared" si="30"/>
        <v>2</v>
      </c>
      <c r="R665" s="50">
        <f>IF(AND(Q664=2,Q665=1),"",IF(Q665=2,(N665+N666)/2,IF(Table13232[[#This Row],[Dual Listing]]=1,Table13232[[#This Row],[Nat and Combo Bet]],11)))</f>
        <v>200</v>
      </c>
      <c r="S665" s="50" t="str">
        <f t="shared" si="31"/>
        <v/>
      </c>
      <c r="T665" s="50">
        <f t="shared" si="32"/>
        <v>-200</v>
      </c>
      <c r="U665" s="50" t="str">
        <f>IF(Table13232[[#This Row],[Date]]&lt;$U$4,"","Live")</f>
        <v>Live</v>
      </c>
      <c r="V665" s="45" t="str">
        <f>TEXT(Table13232[[#This Row],[Date]],"DDD")</f>
        <v>Sat</v>
      </c>
      <c r="W665" s="45" t="str">
        <f>PROPER(TRIM(Table13232[[#This Row],[Horse]]))</f>
        <v>Poison Chalice</v>
      </c>
    </row>
    <row r="666" spans="1:23" x14ac:dyDescent="0.25">
      <c r="A666" s="109">
        <v>45990</v>
      </c>
      <c r="B666" s="53">
        <v>0.65625</v>
      </c>
      <c r="C666" s="110" t="s">
        <v>34</v>
      </c>
      <c r="D666" s="111">
        <v>7</v>
      </c>
      <c r="E666" s="111">
        <v>5</v>
      </c>
      <c r="F666" s="112" t="s">
        <v>144</v>
      </c>
      <c r="G666" s="112"/>
      <c r="H666" s="113"/>
      <c r="I666" s="47" t="s">
        <v>298</v>
      </c>
      <c r="J666" s="45" t="str">
        <f>VLOOKUP(Table13232[[#This Row],[Track]],$C$836:$E$882,2,FALSE)</f>
        <v>Vic</v>
      </c>
      <c r="K666" s="49">
        <v>100</v>
      </c>
      <c r="L666" s="45" t="str">
        <f>IF(Table13232[[#This Row],[Fin]]&lt;&gt;"1st","",Table13232[[#This Row],[Div]]*Table13232[[#This Row],[Lev Bet]])</f>
        <v/>
      </c>
      <c r="M666" s="45">
        <f>IF(Table13232[[#This Row],[Lev Ret]]="",Table13232[[#This Row],[Lev Bet]]*-1,L666-K666)</f>
        <v>-100</v>
      </c>
      <c r="N666" s="135">
        <v>200</v>
      </c>
      <c r="O666" s="135" t="str">
        <f>IF(Table13232[[#This Row],[Fin]]&lt;&gt;"1st","",Table13232[[#This Row],[Div]]*Table13232[[#This Row],[Nat and Combo Bet]])</f>
        <v/>
      </c>
      <c r="P666" s="135">
        <f>IF(Table13232[[#This Row],[Lev Ret]]="",Table13232[[#This Row],[Nat and Combo Bet]]*-1,O666-N666)</f>
        <v>-200</v>
      </c>
      <c r="Q666" s="50">
        <f t="shared" si="30"/>
        <v>1</v>
      </c>
      <c r="R666" s="50" t="str">
        <f>IF(AND(Q665=2,Q666=1),"",IF(Q666=2,(N666+N667)/2,IF(Table13232[[#This Row],[Dual Listing]]=1,Table13232[[#This Row],[Nat and Combo Bet]],11)))</f>
        <v/>
      </c>
      <c r="S666" s="50" t="str">
        <f t="shared" si="31"/>
        <v/>
      </c>
      <c r="T666" s="50" t="str">
        <f t="shared" si="32"/>
        <v/>
      </c>
      <c r="U666" s="50" t="str">
        <f>IF(Table13232[[#This Row],[Date]]&lt;$U$4,"","Live")</f>
        <v>Live</v>
      </c>
      <c r="V666" s="45" t="str">
        <f>TEXT(Table13232[[#This Row],[Date]],"DDD")</f>
        <v>Sat</v>
      </c>
      <c r="W666" s="45" t="str">
        <f>PROPER(TRIM(Table13232[[#This Row],[Horse]]))</f>
        <v>Poison Chalice</v>
      </c>
    </row>
    <row r="667" spans="1:23" x14ac:dyDescent="0.25">
      <c r="A667" s="43">
        <v>45990</v>
      </c>
      <c r="B667" s="44">
        <v>0.68402777777777779</v>
      </c>
      <c r="C667" s="44" t="s">
        <v>34</v>
      </c>
      <c r="D667" s="45">
        <v>8</v>
      </c>
      <c r="E667" s="45">
        <v>14</v>
      </c>
      <c r="F667" s="46" t="s">
        <v>302</v>
      </c>
      <c r="G667" s="46" t="s">
        <v>21</v>
      </c>
      <c r="H667" s="47">
        <v>3.1</v>
      </c>
      <c r="I667" s="52" t="s">
        <v>297</v>
      </c>
      <c r="J667" s="45" t="str">
        <f>VLOOKUP(Table13232[[#This Row],[Track]],$C$836:$E$882,2,FALSE)</f>
        <v>Vic</v>
      </c>
      <c r="K667" s="49">
        <v>100</v>
      </c>
      <c r="L667" s="45">
        <f>IF(Table13232[[#This Row],[Fin]]&lt;&gt;"1st","",Table13232[[#This Row],[Div]]*Table13232[[#This Row],[Lev Bet]])</f>
        <v>310</v>
      </c>
      <c r="M667" s="45">
        <f>IF(Table13232[[#This Row],[Lev Ret]]="",Table13232[[#This Row],[Lev Bet]]*-1,L667-K667)</f>
        <v>210</v>
      </c>
      <c r="N667" s="135">
        <v>150</v>
      </c>
      <c r="O667" s="135">
        <f>IF(Table13232[[#This Row],[Fin]]&lt;&gt;"1st","",Table13232[[#This Row],[Div]]*Table13232[[#This Row],[Nat and Combo Bet]])</f>
        <v>465</v>
      </c>
      <c r="P667" s="135">
        <f>IF(Table13232[[#This Row],[Lev Ret]]="",Table13232[[#This Row],[Nat and Combo Bet]]*-1,O667-N667)</f>
        <v>315</v>
      </c>
      <c r="Q667" s="50">
        <f t="shared" si="30"/>
        <v>1</v>
      </c>
      <c r="R667" s="50">
        <f>IF(AND(Q666=2,Q667=1),"",IF(Q667=2,(N667+N668)/2,IF(Table13232[[#This Row],[Dual Listing]]=1,Table13232[[#This Row],[Nat and Combo Bet]],11)))</f>
        <v>150</v>
      </c>
      <c r="S667" s="50">
        <f t="shared" si="31"/>
        <v>465</v>
      </c>
      <c r="T667" s="50">
        <f t="shared" si="32"/>
        <v>315</v>
      </c>
      <c r="U667" s="50" t="str">
        <f>IF(Table13232[[#This Row],[Date]]&lt;$U$4,"","Live")</f>
        <v>Live</v>
      </c>
      <c r="V667" s="45" t="str">
        <f>TEXT(Table13232[[#This Row],[Date]],"DDD")</f>
        <v>Sat</v>
      </c>
      <c r="W667" s="45" t="str">
        <f>PROPER(TRIM(Table13232[[#This Row],[Horse]]))</f>
        <v>She'S A Hustler</v>
      </c>
    </row>
    <row r="668" spans="1:23" x14ac:dyDescent="0.25">
      <c r="A668" s="43">
        <v>45990</v>
      </c>
      <c r="B668" s="44">
        <v>0.71180555555555558</v>
      </c>
      <c r="C668" s="44" t="s">
        <v>34</v>
      </c>
      <c r="D668" s="45">
        <v>9</v>
      </c>
      <c r="E668" s="45">
        <v>6</v>
      </c>
      <c r="F668" s="46" t="s">
        <v>62</v>
      </c>
      <c r="G668" s="46" t="s">
        <v>23</v>
      </c>
      <c r="H668" s="47"/>
      <c r="I668" s="52" t="s">
        <v>297</v>
      </c>
      <c r="J668" s="45" t="str">
        <f>VLOOKUP(Table13232[[#This Row],[Track]],$C$836:$E$882,2,FALSE)</f>
        <v>Vic</v>
      </c>
      <c r="K668" s="49">
        <v>100</v>
      </c>
      <c r="L668" s="45" t="str">
        <f>IF(Table13232[[#This Row],[Fin]]&lt;&gt;"1st","",Table13232[[#This Row],[Div]]*Table13232[[#This Row],[Lev Bet]])</f>
        <v/>
      </c>
      <c r="M668" s="45">
        <f>IF(Table13232[[#This Row],[Lev Ret]]="",Table13232[[#This Row],[Lev Bet]]*-1,L668-K668)</f>
        <v>-100</v>
      </c>
      <c r="N668" s="135">
        <v>160</v>
      </c>
      <c r="O668" s="135" t="str">
        <f>IF(Table13232[[#This Row],[Fin]]&lt;&gt;"1st","",Table13232[[#This Row],[Div]]*Table13232[[#This Row],[Nat and Combo Bet]])</f>
        <v/>
      </c>
      <c r="P668" s="135">
        <f>IF(Table13232[[#This Row],[Lev Ret]]="",Table13232[[#This Row],[Nat and Combo Bet]]*-1,O668-N668)</f>
        <v>-160</v>
      </c>
      <c r="Q668" s="50">
        <f t="shared" si="30"/>
        <v>1</v>
      </c>
      <c r="R668" s="50">
        <f>IF(AND(Q667=2,Q668=1),"",IF(Q668=2,(N668+N669)/2,IF(Table13232[[#This Row],[Dual Listing]]=1,Table13232[[#This Row],[Nat and Combo Bet]],11)))</f>
        <v>160</v>
      </c>
      <c r="S668" s="50" t="str">
        <f t="shared" si="31"/>
        <v/>
      </c>
      <c r="T668" s="50">
        <f t="shared" si="32"/>
        <v>-160</v>
      </c>
      <c r="U668" s="50" t="str">
        <f>IF(Table13232[[#This Row],[Date]]&lt;$U$4,"","Live")</f>
        <v>Live</v>
      </c>
      <c r="V668" s="45" t="str">
        <f>TEXT(Table13232[[#This Row],[Date]],"DDD")</f>
        <v>Sat</v>
      </c>
      <c r="W668" s="45" t="str">
        <f>PROPER(TRIM(Table13232[[#This Row],[Horse]]))</f>
        <v>Boston Rocks</v>
      </c>
    </row>
    <row r="669" spans="1:23" x14ac:dyDescent="0.25">
      <c r="A669" s="109">
        <v>45990</v>
      </c>
      <c r="B669" s="53">
        <v>0.71180555555555558</v>
      </c>
      <c r="C669" s="110" t="s">
        <v>34</v>
      </c>
      <c r="D669" s="111">
        <v>9</v>
      </c>
      <c r="E669" s="111">
        <v>10</v>
      </c>
      <c r="F669" s="112" t="s">
        <v>529</v>
      </c>
      <c r="G669" s="112"/>
      <c r="H669" s="113"/>
      <c r="I669" s="52" t="s">
        <v>297</v>
      </c>
      <c r="J669" s="45" t="str">
        <f>VLOOKUP(Table13232[[#This Row],[Track]],$C$836:$E$882,2,FALSE)</f>
        <v>Vic</v>
      </c>
      <c r="K669" s="49">
        <v>100</v>
      </c>
      <c r="L669" s="45" t="str">
        <f>IF(Table13232[[#This Row],[Fin]]&lt;&gt;"1st","",Table13232[[#This Row],[Div]]*Table13232[[#This Row],[Lev Bet]])</f>
        <v/>
      </c>
      <c r="M669" s="45">
        <f>IF(Table13232[[#This Row],[Lev Ret]]="",Table13232[[#This Row],[Lev Bet]]*-1,L669-K669)</f>
        <v>-100</v>
      </c>
      <c r="N669" s="135">
        <v>160</v>
      </c>
      <c r="O669" s="135" t="str">
        <f>IF(Table13232[[#This Row],[Fin]]&lt;&gt;"1st","",Table13232[[#This Row],[Div]]*Table13232[[#This Row],[Nat and Combo Bet]])</f>
        <v/>
      </c>
      <c r="P669" s="135">
        <f>IF(Table13232[[#This Row],[Lev Ret]]="",Table13232[[#This Row],[Nat and Combo Bet]]*-1,O669-N669)</f>
        <v>-160</v>
      </c>
      <c r="Q669" s="50">
        <f t="shared" si="30"/>
        <v>2</v>
      </c>
      <c r="R669" s="50">
        <f>IF(AND(Q668=2,Q669=1),"",IF(Q669=2,(N669+N670)/2,IF(Table13232[[#This Row],[Dual Listing]]=1,Table13232[[#This Row],[Nat and Combo Bet]],11)))</f>
        <v>180</v>
      </c>
      <c r="S669" s="50" t="str">
        <f t="shared" si="31"/>
        <v/>
      </c>
      <c r="T669" s="50">
        <f t="shared" si="32"/>
        <v>-180</v>
      </c>
      <c r="U669" s="50" t="str">
        <f>IF(Table13232[[#This Row],[Date]]&lt;$U$4,"","Live")</f>
        <v>Live</v>
      </c>
      <c r="V669" s="45" t="str">
        <f>TEXT(Table13232[[#This Row],[Date]],"DDD")</f>
        <v>Sat</v>
      </c>
      <c r="W669" s="45" t="str">
        <f>PROPER(TRIM(Table13232[[#This Row],[Horse]]))</f>
        <v>Grand Larceny</v>
      </c>
    </row>
    <row r="670" spans="1:23" x14ac:dyDescent="0.25">
      <c r="A670" s="109">
        <v>45990</v>
      </c>
      <c r="B670" s="53">
        <v>0.71180555555555558</v>
      </c>
      <c r="C670" s="110" t="s">
        <v>34</v>
      </c>
      <c r="D670" s="111">
        <v>9</v>
      </c>
      <c r="E670" s="111">
        <v>10</v>
      </c>
      <c r="F670" s="112" t="s">
        <v>529</v>
      </c>
      <c r="G670" s="112"/>
      <c r="H670" s="113"/>
      <c r="I670" s="47" t="s">
        <v>298</v>
      </c>
      <c r="J670" s="45" t="str">
        <f>VLOOKUP(Table13232[[#This Row],[Track]],$C$836:$E$882,2,FALSE)</f>
        <v>Vic</v>
      </c>
      <c r="K670" s="49">
        <v>100</v>
      </c>
      <c r="L670" s="45" t="str">
        <f>IF(Table13232[[#This Row],[Fin]]&lt;&gt;"1st","",Table13232[[#This Row],[Div]]*Table13232[[#This Row],[Lev Bet]])</f>
        <v/>
      </c>
      <c r="M670" s="45">
        <f>IF(Table13232[[#This Row],[Lev Ret]]="",Table13232[[#This Row],[Lev Bet]]*-1,L670-K670)</f>
        <v>-100</v>
      </c>
      <c r="N670" s="135">
        <v>200</v>
      </c>
      <c r="O670" s="135" t="str">
        <f>IF(Table13232[[#This Row],[Fin]]&lt;&gt;"1st","",Table13232[[#This Row],[Div]]*Table13232[[#This Row],[Nat and Combo Bet]])</f>
        <v/>
      </c>
      <c r="P670" s="135">
        <f>IF(Table13232[[#This Row],[Lev Ret]]="",Table13232[[#This Row],[Nat and Combo Bet]]*-1,O670-N670)</f>
        <v>-200</v>
      </c>
      <c r="Q670" s="50">
        <f t="shared" si="30"/>
        <v>1</v>
      </c>
      <c r="R670" s="50" t="str">
        <f>IF(AND(Q669=2,Q670=1),"",IF(Q670=2,(N670+N671)/2,IF(Table13232[[#This Row],[Dual Listing]]=1,Table13232[[#This Row],[Nat and Combo Bet]],11)))</f>
        <v/>
      </c>
      <c r="S670" s="50" t="str">
        <f t="shared" si="31"/>
        <v/>
      </c>
      <c r="T670" s="50" t="str">
        <f t="shared" si="32"/>
        <v/>
      </c>
      <c r="U670" s="50" t="str">
        <f>IF(Table13232[[#This Row],[Date]]&lt;$U$4,"","Live")</f>
        <v>Live</v>
      </c>
      <c r="V670" s="45" t="str">
        <f>TEXT(Table13232[[#This Row],[Date]],"DDD")</f>
        <v>Sat</v>
      </c>
      <c r="W670" s="45" t="str">
        <f>PROPER(TRIM(Table13232[[#This Row],[Horse]]))</f>
        <v>Grand Larceny</v>
      </c>
    </row>
    <row r="671" spans="1:23" x14ac:dyDescent="0.25">
      <c r="A671" s="43">
        <v>45990</v>
      </c>
      <c r="B671" s="44">
        <v>0.73055555555555551</v>
      </c>
      <c r="C671" s="44" t="s">
        <v>9</v>
      </c>
      <c r="D671" s="45">
        <v>9</v>
      </c>
      <c r="E671" s="45">
        <v>11</v>
      </c>
      <c r="F671" s="46" t="s">
        <v>343</v>
      </c>
      <c r="G671" s="46"/>
      <c r="H671" s="47"/>
      <c r="I671" s="47" t="s">
        <v>298</v>
      </c>
      <c r="J671" s="45" t="str">
        <f>VLOOKUP(Table13232[[#This Row],[Track]],$C$836:$E$882,2,FALSE)</f>
        <v>Qld</v>
      </c>
      <c r="K671" s="49">
        <v>100</v>
      </c>
      <c r="L671" s="45" t="str">
        <f>IF(Table13232[[#This Row],[Fin]]&lt;&gt;"1st","",Table13232[[#This Row],[Div]]*Table13232[[#This Row],[Lev Bet]])</f>
        <v/>
      </c>
      <c r="M671" s="45">
        <f>IF(Table13232[[#This Row],[Lev Ret]]="",Table13232[[#This Row],[Lev Bet]]*-1,L671-K671)</f>
        <v>-100</v>
      </c>
      <c r="N671" s="135">
        <v>100</v>
      </c>
      <c r="O671" s="135" t="str">
        <f>IF(Table13232[[#This Row],[Fin]]&lt;&gt;"1st","",Table13232[[#This Row],[Div]]*Table13232[[#This Row],[Nat and Combo Bet]])</f>
        <v/>
      </c>
      <c r="P671" s="135">
        <f>IF(Table13232[[#This Row],[Lev Ret]]="",Table13232[[#This Row],[Nat and Combo Bet]]*-1,O671-N671)</f>
        <v>-100</v>
      </c>
      <c r="Q671" s="50">
        <f t="shared" si="30"/>
        <v>1</v>
      </c>
      <c r="R671" s="50">
        <f>IF(AND(Q670=2,Q671=1),"",IF(Q671=2,(N671+N672)/2,IF(Table13232[[#This Row],[Dual Listing]]=1,Table13232[[#This Row],[Nat and Combo Bet]],11)))</f>
        <v>100</v>
      </c>
      <c r="S671" s="50" t="str">
        <f t="shared" si="31"/>
        <v/>
      </c>
      <c r="T671" s="50">
        <f t="shared" si="32"/>
        <v>-100</v>
      </c>
      <c r="U671" s="50" t="str">
        <f>IF(Table13232[[#This Row],[Date]]&lt;$U$4,"","Live")</f>
        <v>Live</v>
      </c>
      <c r="V671" s="45" t="str">
        <f>TEXT(Table13232[[#This Row],[Date]],"DDD")</f>
        <v>Sat</v>
      </c>
      <c r="W671" s="45" t="str">
        <f>PROPER(TRIM(Table13232[[#This Row],[Horse]]))</f>
        <v>Voracious</v>
      </c>
    </row>
    <row r="672" spans="1:23" x14ac:dyDescent="0.25">
      <c r="A672" s="43">
        <v>45990</v>
      </c>
      <c r="B672" s="44">
        <v>0.75694444444444442</v>
      </c>
      <c r="C672" s="44" t="s">
        <v>9</v>
      </c>
      <c r="D672" s="45">
        <v>10</v>
      </c>
      <c r="E672" s="45">
        <v>19</v>
      </c>
      <c r="F672" s="46" t="s">
        <v>534</v>
      </c>
      <c r="G672" s="46" t="s">
        <v>21</v>
      </c>
      <c r="H672" s="47">
        <v>2.8</v>
      </c>
      <c r="I672" s="47" t="s">
        <v>298</v>
      </c>
      <c r="J672" s="45" t="str">
        <f>VLOOKUP(Table13232[[#This Row],[Track]],$C$836:$E$882,2,FALSE)</f>
        <v>Qld</v>
      </c>
      <c r="K672" s="49">
        <v>100</v>
      </c>
      <c r="L672" s="45">
        <f>IF(Table13232[[#This Row],[Fin]]&lt;&gt;"1st","",Table13232[[#This Row],[Div]]*Table13232[[#This Row],[Lev Bet]])</f>
        <v>280</v>
      </c>
      <c r="M672" s="45">
        <f>IF(Table13232[[#This Row],[Lev Ret]]="",Table13232[[#This Row],[Lev Bet]]*-1,L672-K672)</f>
        <v>180</v>
      </c>
      <c r="N672" s="135">
        <v>100</v>
      </c>
      <c r="O672" s="135">
        <f>IF(Table13232[[#This Row],[Fin]]&lt;&gt;"1st","",Table13232[[#This Row],[Div]]*Table13232[[#This Row],[Nat and Combo Bet]])</f>
        <v>280</v>
      </c>
      <c r="P672" s="135">
        <f>IF(Table13232[[#This Row],[Lev Ret]]="",Table13232[[#This Row],[Nat and Combo Bet]]*-1,O672-N672)</f>
        <v>180</v>
      </c>
      <c r="Q672" s="50">
        <f t="shared" si="30"/>
        <v>1</v>
      </c>
      <c r="R672" s="50">
        <f>IF(AND(Q671=2,Q672=1),"",IF(Q672=2,(N672+N673)/2,IF(Table13232[[#This Row],[Dual Listing]]=1,Table13232[[#This Row],[Nat and Combo Bet]],11)))</f>
        <v>100</v>
      </c>
      <c r="S672" s="50">
        <f t="shared" si="31"/>
        <v>280</v>
      </c>
      <c r="T672" s="50">
        <f t="shared" si="32"/>
        <v>180</v>
      </c>
      <c r="U672" s="50" t="str">
        <f>IF(Table13232[[#This Row],[Date]]&lt;$U$4,"","Live")</f>
        <v>Live</v>
      </c>
      <c r="V672" s="45" t="str">
        <f>TEXT(Table13232[[#This Row],[Date]],"DDD")</f>
        <v>Sat</v>
      </c>
      <c r="W672" s="45" t="str">
        <f>PROPER(TRIM(Table13232[[#This Row],[Horse]]))</f>
        <v>Bossed Up</v>
      </c>
    </row>
    <row r="673" spans="1:23" x14ac:dyDescent="0.25">
      <c r="A673" s="43">
        <v>45997</v>
      </c>
      <c r="B673" s="44">
        <v>0.51388888888888884</v>
      </c>
      <c r="C673" s="44" t="s">
        <v>54</v>
      </c>
      <c r="D673" s="45">
        <v>1</v>
      </c>
      <c r="E673" s="45">
        <v>2</v>
      </c>
      <c r="F673" s="46" t="s">
        <v>539</v>
      </c>
      <c r="G673" s="46"/>
      <c r="H673" s="47"/>
      <c r="I673" s="47" t="s">
        <v>298</v>
      </c>
      <c r="J673" s="45" t="str">
        <f>VLOOKUP(Table13232[[#This Row],[Track]],$C$836:$E$882,2,FALSE)</f>
        <v>Vic</v>
      </c>
      <c r="K673" s="49">
        <v>100</v>
      </c>
      <c r="L673" s="45" t="str">
        <f>IF(Table13232[[#This Row],[Fin]]&lt;&gt;"1st","",Table13232[[#This Row],[Div]]*Table13232[[#This Row],[Lev Bet]])</f>
        <v/>
      </c>
      <c r="M673" s="45">
        <f>IF(Table13232[[#This Row],[Lev Ret]]="",Table13232[[#This Row],[Lev Bet]]*-1,L673-K673)</f>
        <v>-100</v>
      </c>
      <c r="N673" s="135">
        <v>150</v>
      </c>
      <c r="O673" s="135" t="str">
        <f>IF(Table13232[[#This Row],[Fin]]&lt;&gt;"1st","",Table13232[[#This Row],[Div]]*Table13232[[#This Row],[Nat and Combo Bet]])</f>
        <v/>
      </c>
      <c r="P673" s="135">
        <f>IF(Table13232[[#This Row],[Lev Ret]]="",Table13232[[#This Row],[Nat and Combo Bet]]*-1,O673-N673)</f>
        <v>-150</v>
      </c>
      <c r="Q673" s="50">
        <f t="shared" si="30"/>
        <v>1</v>
      </c>
      <c r="R673" s="50">
        <f>IF(AND(Q672=2,Q673=1),"",IF(Q673=2,(N673+N674)/2,IF(Table13232[[#This Row],[Dual Listing]]=1,Table13232[[#This Row],[Nat and Combo Bet]],11)))</f>
        <v>150</v>
      </c>
      <c r="S673" s="50" t="str">
        <f t="shared" si="31"/>
        <v/>
      </c>
      <c r="T673" s="50">
        <f t="shared" si="32"/>
        <v>-150</v>
      </c>
      <c r="U673" s="50" t="str">
        <f>IF(Table13232[[#This Row],[Date]]&lt;$U$4,"","Live")</f>
        <v>Live</v>
      </c>
      <c r="V673" s="45" t="str">
        <f>TEXT(Table13232[[#This Row],[Date]],"DDD")</f>
        <v>Sat</v>
      </c>
      <c r="W673" s="45" t="str">
        <f>PROPER(TRIM(Table13232[[#This Row],[Horse]]))</f>
        <v>Maldini</v>
      </c>
    </row>
    <row r="674" spans="1:23" x14ac:dyDescent="0.25">
      <c r="A674" s="43">
        <v>45997</v>
      </c>
      <c r="B674" s="44">
        <v>0.55277777777777781</v>
      </c>
      <c r="C674" s="44" t="s">
        <v>9</v>
      </c>
      <c r="D674" s="45">
        <v>1</v>
      </c>
      <c r="E674" s="45">
        <v>9</v>
      </c>
      <c r="F674" s="46" t="s">
        <v>540</v>
      </c>
      <c r="G674" s="46"/>
      <c r="H674" s="47"/>
      <c r="I674" s="47" t="s">
        <v>298</v>
      </c>
      <c r="J674" s="45" t="str">
        <f>VLOOKUP(Table13232[[#This Row],[Track]],$C$836:$E$882,2,FALSE)</f>
        <v>Qld</v>
      </c>
      <c r="K674" s="49">
        <v>100</v>
      </c>
      <c r="L674" s="45" t="str">
        <f>IF(Table13232[[#This Row],[Fin]]&lt;&gt;"1st","",Table13232[[#This Row],[Div]]*Table13232[[#This Row],[Lev Bet]])</f>
        <v/>
      </c>
      <c r="M674" s="45">
        <f>IF(Table13232[[#This Row],[Lev Ret]]="",Table13232[[#This Row],[Lev Bet]]*-1,L674-K674)</f>
        <v>-100</v>
      </c>
      <c r="N674" s="135">
        <v>100</v>
      </c>
      <c r="O674" s="135" t="str">
        <f>IF(Table13232[[#This Row],[Fin]]&lt;&gt;"1st","",Table13232[[#This Row],[Div]]*Table13232[[#This Row],[Nat and Combo Bet]])</f>
        <v/>
      </c>
      <c r="P674" s="135">
        <f>IF(Table13232[[#This Row],[Lev Ret]]="",Table13232[[#This Row],[Nat and Combo Bet]]*-1,O674-N674)</f>
        <v>-100</v>
      </c>
      <c r="Q674" s="50">
        <f t="shared" si="30"/>
        <v>1</v>
      </c>
      <c r="R674" s="50">
        <f>IF(AND(Q673=2,Q674=1),"",IF(Q674=2,(N674+N675)/2,IF(Table13232[[#This Row],[Dual Listing]]=1,Table13232[[#This Row],[Nat and Combo Bet]],11)))</f>
        <v>100</v>
      </c>
      <c r="S674" s="50" t="str">
        <f t="shared" si="31"/>
        <v/>
      </c>
      <c r="T674" s="50">
        <f t="shared" si="32"/>
        <v>-100</v>
      </c>
      <c r="U674" s="50" t="str">
        <f>IF(Table13232[[#This Row],[Date]]&lt;$U$4,"","Live")</f>
        <v>Live</v>
      </c>
      <c r="V674" s="45" t="str">
        <f>TEXT(Table13232[[#This Row],[Date]],"DDD")</f>
        <v>Sat</v>
      </c>
      <c r="W674" s="45" t="str">
        <f>PROPER(TRIM(Table13232[[#This Row],[Horse]]))</f>
        <v>The Irish</v>
      </c>
    </row>
    <row r="675" spans="1:23" x14ac:dyDescent="0.25">
      <c r="A675" s="43">
        <v>45997</v>
      </c>
      <c r="B675" s="44">
        <v>0.55902777777777779</v>
      </c>
      <c r="C675" s="44" t="s">
        <v>281</v>
      </c>
      <c r="D675" s="45">
        <v>3</v>
      </c>
      <c r="E675" s="45">
        <v>1</v>
      </c>
      <c r="F675" s="46" t="s">
        <v>535</v>
      </c>
      <c r="G675" s="46" t="s">
        <v>23</v>
      </c>
      <c r="H675" s="47"/>
      <c r="I675" s="52" t="s">
        <v>297</v>
      </c>
      <c r="J675" s="45" t="str">
        <f>VLOOKUP(Table13232[[#This Row],[Track]],$C$836:$E$882,2,FALSE)</f>
        <v>Vic</v>
      </c>
      <c r="K675" s="49">
        <v>100</v>
      </c>
      <c r="L675" s="45" t="str">
        <f>IF(Table13232[[#This Row],[Fin]]&lt;&gt;"1st","",Table13232[[#This Row],[Div]]*Table13232[[#This Row],[Lev Bet]])</f>
        <v/>
      </c>
      <c r="M675" s="45">
        <f>IF(Table13232[[#This Row],[Lev Ret]]="",Table13232[[#This Row],[Lev Bet]]*-1,L675-K675)</f>
        <v>-100</v>
      </c>
      <c r="N675" s="135">
        <v>150</v>
      </c>
      <c r="O675" s="135" t="str">
        <f>IF(Table13232[[#This Row],[Fin]]&lt;&gt;"1st","",Table13232[[#This Row],[Div]]*Table13232[[#This Row],[Nat and Combo Bet]])</f>
        <v/>
      </c>
      <c r="P675" s="135">
        <f>IF(Table13232[[#This Row],[Lev Ret]]="",Table13232[[#This Row],[Nat and Combo Bet]]*-1,O675-N675)</f>
        <v>-150</v>
      </c>
      <c r="Q675" s="50">
        <f t="shared" si="30"/>
        <v>1</v>
      </c>
      <c r="R675" s="50">
        <f>IF(AND(Q674=2,Q675=1),"",IF(Q675=2,(N675+N676)/2,IF(Table13232[[#This Row],[Dual Listing]]=1,Table13232[[#This Row],[Nat and Combo Bet]],11)))</f>
        <v>150</v>
      </c>
      <c r="S675" s="50" t="str">
        <f t="shared" si="31"/>
        <v/>
      </c>
      <c r="T675" s="50">
        <f t="shared" si="32"/>
        <v>-150</v>
      </c>
      <c r="U675" s="50" t="str">
        <f>IF(Table13232[[#This Row],[Date]]&lt;$U$4,"","Live")</f>
        <v>Live</v>
      </c>
      <c r="V675" s="45" t="str">
        <f>TEXT(Table13232[[#This Row],[Date]],"DDD")</f>
        <v>Sat</v>
      </c>
      <c r="W675" s="45" t="str">
        <f>PROPER(TRIM(Table13232[[#This Row],[Horse]]))</f>
        <v>Harry'S Yacht</v>
      </c>
    </row>
    <row r="676" spans="1:23" x14ac:dyDescent="0.25">
      <c r="A676" s="43">
        <v>45997</v>
      </c>
      <c r="B676" s="44">
        <v>0.62708333333333333</v>
      </c>
      <c r="C676" s="44" t="s">
        <v>9</v>
      </c>
      <c r="D676" s="45">
        <v>4</v>
      </c>
      <c r="E676" s="45">
        <v>4</v>
      </c>
      <c r="F676" s="46" t="s">
        <v>541</v>
      </c>
      <c r="G676" s="46" t="s">
        <v>23</v>
      </c>
      <c r="H676" s="47"/>
      <c r="I676" s="47" t="s">
        <v>298</v>
      </c>
      <c r="J676" s="45" t="str">
        <f>VLOOKUP(Table13232[[#This Row],[Track]],$C$836:$E$882,2,FALSE)</f>
        <v>Qld</v>
      </c>
      <c r="K676" s="49">
        <v>100</v>
      </c>
      <c r="L676" s="45" t="str">
        <f>IF(Table13232[[#This Row],[Fin]]&lt;&gt;"1st","",Table13232[[#This Row],[Div]]*Table13232[[#This Row],[Lev Bet]])</f>
        <v/>
      </c>
      <c r="M676" s="45">
        <f>IF(Table13232[[#This Row],[Lev Ret]]="",Table13232[[#This Row],[Lev Bet]]*-1,L676-K676)</f>
        <v>-100</v>
      </c>
      <c r="N676" s="135">
        <v>100</v>
      </c>
      <c r="O676" s="135" t="str">
        <f>IF(Table13232[[#This Row],[Fin]]&lt;&gt;"1st","",Table13232[[#This Row],[Div]]*Table13232[[#This Row],[Nat and Combo Bet]])</f>
        <v/>
      </c>
      <c r="P676" s="135">
        <f>IF(Table13232[[#This Row],[Lev Ret]]="",Table13232[[#This Row],[Nat and Combo Bet]]*-1,O676-N676)</f>
        <v>-100</v>
      </c>
      <c r="Q676" s="50">
        <f t="shared" si="30"/>
        <v>1</v>
      </c>
      <c r="R676" s="50">
        <f>IF(AND(Q675=2,Q676=1),"",IF(Q676=2,(N676+N677)/2,IF(Table13232[[#This Row],[Dual Listing]]=1,Table13232[[#This Row],[Nat and Combo Bet]],11)))</f>
        <v>100</v>
      </c>
      <c r="S676" s="50" t="str">
        <f t="shared" si="31"/>
        <v/>
      </c>
      <c r="T676" s="50">
        <f t="shared" si="32"/>
        <v>-100</v>
      </c>
      <c r="U676" s="50" t="str">
        <f>IF(Table13232[[#This Row],[Date]]&lt;$U$4,"","Live")</f>
        <v>Live</v>
      </c>
      <c r="V676" s="45" t="str">
        <f>TEXT(Table13232[[#This Row],[Date]],"DDD")</f>
        <v>Sat</v>
      </c>
      <c r="W676" s="45" t="str">
        <f>PROPER(TRIM(Table13232[[#This Row],[Horse]]))</f>
        <v>Blazen Boots</v>
      </c>
    </row>
    <row r="677" spans="1:23" x14ac:dyDescent="0.25">
      <c r="A677" s="43">
        <v>45997</v>
      </c>
      <c r="B677" s="44">
        <v>0.65625</v>
      </c>
      <c r="C677" s="44" t="s">
        <v>54</v>
      </c>
      <c r="D677" s="45">
        <v>7</v>
      </c>
      <c r="E677" s="45">
        <v>3</v>
      </c>
      <c r="F677" s="46" t="s">
        <v>324</v>
      </c>
      <c r="G677" s="46"/>
      <c r="H677" s="47"/>
      <c r="I677" s="52" t="s">
        <v>297</v>
      </c>
      <c r="J677" s="45" t="str">
        <f>VLOOKUP(Table13232[[#This Row],[Track]],$C$836:$E$882,2,FALSE)</f>
        <v>Vic</v>
      </c>
      <c r="K677" s="49">
        <v>100</v>
      </c>
      <c r="L677" s="45" t="str">
        <f>IF(Table13232[[#This Row],[Fin]]&lt;&gt;"1st","",Table13232[[#This Row],[Div]]*Table13232[[#This Row],[Lev Bet]])</f>
        <v/>
      </c>
      <c r="M677" s="45">
        <f>IF(Table13232[[#This Row],[Lev Ret]]="",Table13232[[#This Row],[Lev Bet]]*-1,L677-K677)</f>
        <v>-100</v>
      </c>
      <c r="N677" s="135">
        <v>200</v>
      </c>
      <c r="O677" s="135" t="str">
        <f>IF(Table13232[[#This Row],[Fin]]&lt;&gt;"1st","",Table13232[[#This Row],[Div]]*Table13232[[#This Row],[Nat and Combo Bet]])</f>
        <v/>
      </c>
      <c r="P677" s="135">
        <f>IF(Table13232[[#This Row],[Lev Ret]]="",Table13232[[#This Row],[Nat and Combo Bet]]*-1,O677-N677)</f>
        <v>-200</v>
      </c>
      <c r="Q677" s="50">
        <f t="shared" si="30"/>
        <v>1</v>
      </c>
      <c r="R677" s="50">
        <f>IF(AND(Q676=2,Q677=1),"",IF(Q677=2,(N677+N678)/2,IF(Table13232[[#This Row],[Dual Listing]]=1,Table13232[[#This Row],[Nat and Combo Bet]],11)))</f>
        <v>200</v>
      </c>
      <c r="S677" s="50" t="str">
        <f t="shared" si="31"/>
        <v/>
      </c>
      <c r="T677" s="50">
        <f t="shared" si="32"/>
        <v>-200</v>
      </c>
      <c r="U677" s="50" t="str">
        <f>IF(Table13232[[#This Row],[Date]]&lt;$U$4,"","Live")</f>
        <v>Live</v>
      </c>
      <c r="V677" s="45" t="str">
        <f>TEXT(Table13232[[#This Row],[Date]],"DDD")</f>
        <v>Sat</v>
      </c>
      <c r="W677" s="45" t="str">
        <f>PROPER(TRIM(Table13232[[#This Row],[Horse]]))</f>
        <v>Major Share</v>
      </c>
    </row>
    <row r="678" spans="1:23" x14ac:dyDescent="0.25">
      <c r="A678" s="109">
        <v>45997</v>
      </c>
      <c r="B678" s="53">
        <v>0.65625</v>
      </c>
      <c r="C678" s="110" t="s">
        <v>54</v>
      </c>
      <c r="D678" s="111">
        <v>7</v>
      </c>
      <c r="E678" s="111">
        <v>10</v>
      </c>
      <c r="F678" s="112" t="s">
        <v>536</v>
      </c>
      <c r="G678" s="112" t="s">
        <v>21</v>
      </c>
      <c r="H678" s="113">
        <v>3.6</v>
      </c>
      <c r="I678" s="52" t="s">
        <v>297</v>
      </c>
      <c r="J678" s="45" t="str">
        <f>VLOOKUP(Table13232[[#This Row],[Track]],$C$836:$E$882,2,FALSE)</f>
        <v>Vic</v>
      </c>
      <c r="K678" s="49">
        <v>100</v>
      </c>
      <c r="L678" s="45">
        <f>IF(Table13232[[#This Row],[Fin]]&lt;&gt;"1st","",Table13232[[#This Row],[Div]]*Table13232[[#This Row],[Lev Bet]])</f>
        <v>360</v>
      </c>
      <c r="M678" s="45">
        <f>IF(Table13232[[#This Row],[Lev Ret]]="",Table13232[[#This Row],[Lev Bet]]*-1,L678-K678)</f>
        <v>260</v>
      </c>
      <c r="N678" s="135">
        <v>100</v>
      </c>
      <c r="O678" s="135">
        <f>IF(Table13232[[#This Row],[Fin]]&lt;&gt;"1st","",Table13232[[#This Row],[Div]]*Table13232[[#This Row],[Nat and Combo Bet]])</f>
        <v>360</v>
      </c>
      <c r="P678" s="135">
        <f>IF(Table13232[[#This Row],[Lev Ret]]="",Table13232[[#This Row],[Nat and Combo Bet]]*-1,O678-N678)</f>
        <v>260</v>
      </c>
      <c r="Q678" s="50">
        <f t="shared" si="30"/>
        <v>2</v>
      </c>
      <c r="R678" s="50">
        <f>IF(AND(Q677=2,Q678=1),"",IF(Q678=2,(N678+N679)/2,IF(Table13232[[#This Row],[Dual Listing]]=1,Table13232[[#This Row],[Nat and Combo Bet]],11)))</f>
        <v>150</v>
      </c>
      <c r="S678" s="50">
        <f t="shared" si="31"/>
        <v>540</v>
      </c>
      <c r="T678" s="50">
        <f t="shared" si="32"/>
        <v>390</v>
      </c>
      <c r="U678" s="50" t="str">
        <f>IF(Table13232[[#This Row],[Date]]&lt;$U$4,"","Live")</f>
        <v>Live</v>
      </c>
      <c r="V678" s="45" t="str">
        <f>TEXT(Table13232[[#This Row],[Date]],"DDD")</f>
        <v>Sat</v>
      </c>
      <c r="W678" s="45" t="str">
        <f>PROPER(TRIM(Table13232[[#This Row],[Horse]]))</f>
        <v>South Of India</v>
      </c>
    </row>
    <row r="679" spans="1:23" x14ac:dyDescent="0.25">
      <c r="A679" s="109">
        <v>45997</v>
      </c>
      <c r="B679" s="53">
        <v>0.65625</v>
      </c>
      <c r="C679" s="110" t="s">
        <v>54</v>
      </c>
      <c r="D679" s="111">
        <v>7</v>
      </c>
      <c r="E679" s="111">
        <v>10</v>
      </c>
      <c r="F679" s="112" t="s">
        <v>536</v>
      </c>
      <c r="G679" s="112" t="s">
        <v>21</v>
      </c>
      <c r="H679" s="113">
        <v>3.6</v>
      </c>
      <c r="I679" s="47" t="s">
        <v>298</v>
      </c>
      <c r="J679" s="45" t="str">
        <f>VLOOKUP(Table13232[[#This Row],[Track]],$C$836:$E$882,2,FALSE)</f>
        <v>Vic</v>
      </c>
      <c r="K679" s="49">
        <v>100</v>
      </c>
      <c r="L679" s="45">
        <f>IF(Table13232[[#This Row],[Fin]]&lt;&gt;"1st","",Table13232[[#This Row],[Div]]*Table13232[[#This Row],[Lev Bet]])</f>
        <v>360</v>
      </c>
      <c r="M679" s="45">
        <f>IF(Table13232[[#This Row],[Lev Ret]]="",Table13232[[#This Row],[Lev Bet]]*-1,L679-K679)</f>
        <v>260</v>
      </c>
      <c r="N679" s="135">
        <v>200</v>
      </c>
      <c r="O679" s="135">
        <f>IF(Table13232[[#This Row],[Fin]]&lt;&gt;"1st","",Table13232[[#This Row],[Div]]*Table13232[[#This Row],[Nat and Combo Bet]])</f>
        <v>720</v>
      </c>
      <c r="P679" s="135">
        <f>IF(Table13232[[#This Row],[Lev Ret]]="",Table13232[[#This Row],[Nat and Combo Bet]]*-1,O679-N679)</f>
        <v>520</v>
      </c>
      <c r="Q679" s="50">
        <f t="shared" si="30"/>
        <v>1</v>
      </c>
      <c r="R679" s="50" t="str">
        <f>IF(AND(Q678=2,Q679=1),"",IF(Q679=2,(N679+N680)/2,IF(Table13232[[#This Row],[Dual Listing]]=1,Table13232[[#This Row],[Nat and Combo Bet]],11)))</f>
        <v/>
      </c>
      <c r="S679" s="50" t="str">
        <f t="shared" si="31"/>
        <v/>
      </c>
      <c r="T679" s="50" t="str">
        <f t="shared" si="32"/>
        <v/>
      </c>
      <c r="U679" s="50" t="str">
        <f>IF(Table13232[[#This Row],[Date]]&lt;$U$4,"","Live")</f>
        <v>Live</v>
      </c>
      <c r="V679" s="45" t="str">
        <f>TEXT(Table13232[[#This Row],[Date]],"DDD")</f>
        <v>Sat</v>
      </c>
      <c r="W679" s="45" t="str">
        <f>PROPER(TRIM(Table13232[[#This Row],[Horse]]))</f>
        <v>South Of India</v>
      </c>
    </row>
    <row r="680" spans="1:23" x14ac:dyDescent="0.25">
      <c r="A680" s="43">
        <v>45997</v>
      </c>
      <c r="B680" s="44">
        <v>0.73055555555555551</v>
      </c>
      <c r="C680" s="44" t="s">
        <v>9</v>
      </c>
      <c r="D680" s="45">
        <v>8</v>
      </c>
      <c r="E680" s="45">
        <v>10</v>
      </c>
      <c r="F680" s="46" t="s">
        <v>305</v>
      </c>
      <c r="G680" s="46"/>
      <c r="H680" s="47"/>
      <c r="I680" s="47" t="s">
        <v>298</v>
      </c>
      <c r="J680" s="45" t="str">
        <f>VLOOKUP(Table13232[[#This Row],[Track]],$C$836:$E$882,2,FALSE)</f>
        <v>Qld</v>
      </c>
      <c r="K680" s="49">
        <v>100</v>
      </c>
      <c r="L680" s="45" t="str">
        <f>IF(Table13232[[#This Row],[Fin]]&lt;&gt;"1st","",Table13232[[#This Row],[Div]]*Table13232[[#This Row],[Lev Bet]])</f>
        <v/>
      </c>
      <c r="M680" s="45">
        <f>IF(Table13232[[#This Row],[Lev Ret]]="",Table13232[[#This Row],[Lev Bet]]*-1,L680-K680)</f>
        <v>-100</v>
      </c>
      <c r="N680" s="135">
        <v>100</v>
      </c>
      <c r="O680" s="135" t="str">
        <f>IF(Table13232[[#This Row],[Fin]]&lt;&gt;"1st","",Table13232[[#This Row],[Div]]*Table13232[[#This Row],[Nat and Combo Bet]])</f>
        <v/>
      </c>
      <c r="P680" s="135">
        <f>IF(Table13232[[#This Row],[Lev Ret]]="",Table13232[[#This Row],[Nat and Combo Bet]]*-1,O680-N680)</f>
        <v>-100</v>
      </c>
      <c r="Q680" s="50">
        <f t="shared" si="30"/>
        <v>1</v>
      </c>
      <c r="R680" s="50">
        <f>IF(AND(Q679=2,Q680=1),"",IF(Q680=2,(N680+N681)/2,IF(Table13232[[#This Row],[Dual Listing]]=1,Table13232[[#This Row],[Nat and Combo Bet]],11)))</f>
        <v>100</v>
      </c>
      <c r="S680" s="50" t="str">
        <f t="shared" si="31"/>
        <v/>
      </c>
      <c r="T680" s="50">
        <f t="shared" si="32"/>
        <v>-100</v>
      </c>
      <c r="U680" s="50" t="str">
        <f>IF(Table13232[[#This Row],[Date]]&lt;$U$4,"","Live")</f>
        <v>Live</v>
      </c>
      <c r="V680" s="45" t="str">
        <f>TEXT(Table13232[[#This Row],[Date]],"DDD")</f>
        <v>Sat</v>
      </c>
      <c r="W680" s="45" t="str">
        <f>PROPER(TRIM(Table13232[[#This Row],[Horse]]))</f>
        <v>Epic Proportions</v>
      </c>
    </row>
    <row r="681" spans="1:23" x14ac:dyDescent="0.25">
      <c r="A681" s="43">
        <v>45998</v>
      </c>
      <c r="B681" s="44">
        <v>0.51041666666666663</v>
      </c>
      <c r="C681" s="44" t="s">
        <v>11</v>
      </c>
      <c r="D681" s="45">
        <v>1</v>
      </c>
      <c r="E681" s="45">
        <v>4</v>
      </c>
      <c r="F681" s="46" t="s">
        <v>537</v>
      </c>
      <c r="G681" s="46" t="s">
        <v>23</v>
      </c>
      <c r="H681" s="47"/>
      <c r="I681" s="52" t="s">
        <v>297</v>
      </c>
      <c r="J681" s="45" t="str">
        <f>VLOOKUP(Table13232[[#This Row],[Track]],$C$836:$E$882,2,FALSE)</f>
        <v>NSW</v>
      </c>
      <c r="K681" s="49">
        <v>100</v>
      </c>
      <c r="L681" s="45" t="str">
        <f>IF(Table13232[[#This Row],[Fin]]&lt;&gt;"1st","",Table13232[[#This Row],[Div]]*Table13232[[#This Row],[Lev Bet]])</f>
        <v/>
      </c>
      <c r="M681" s="45">
        <f>IF(Table13232[[#This Row],[Lev Ret]]="",Table13232[[#This Row],[Lev Bet]]*-1,L681-K681)</f>
        <v>-100</v>
      </c>
      <c r="N681" s="135">
        <v>100</v>
      </c>
      <c r="O681" s="135" t="str">
        <f>IF(Table13232[[#This Row],[Fin]]&lt;&gt;"1st","",Table13232[[#This Row],[Div]]*Table13232[[#This Row],[Nat and Combo Bet]])</f>
        <v/>
      </c>
      <c r="P681" s="135">
        <f>IF(Table13232[[#This Row],[Lev Ret]]="",Table13232[[#This Row],[Nat and Combo Bet]]*-1,O681-N681)</f>
        <v>-100</v>
      </c>
      <c r="Q681" s="50">
        <f t="shared" si="30"/>
        <v>1</v>
      </c>
      <c r="R681" s="50">
        <f>IF(AND(Q680=2,Q681=1),"",IF(Q681=2,(N681+N682)/2,IF(Table13232[[#This Row],[Dual Listing]]=1,Table13232[[#This Row],[Nat and Combo Bet]],11)))</f>
        <v>100</v>
      </c>
      <c r="S681" s="50" t="str">
        <f t="shared" si="31"/>
        <v/>
      </c>
      <c r="T681" s="50">
        <f t="shared" si="32"/>
        <v>-100</v>
      </c>
      <c r="U681" s="50" t="str">
        <f>IF(Table13232[[#This Row],[Date]]&lt;$U$4,"","Live")</f>
        <v>Live</v>
      </c>
      <c r="V681" s="45" t="str">
        <f>TEXT(Table13232[[#This Row],[Date]],"DDD")</f>
        <v>Sun</v>
      </c>
      <c r="W681" s="45" t="str">
        <f>PROPER(TRIM(Table13232[[#This Row],[Horse]]))</f>
        <v>Cape Byron</v>
      </c>
    </row>
    <row r="682" spans="1:23" x14ac:dyDescent="0.25">
      <c r="A682" s="43">
        <v>45998</v>
      </c>
      <c r="B682" s="44">
        <v>0.58333333333333337</v>
      </c>
      <c r="C682" s="44" t="s">
        <v>11</v>
      </c>
      <c r="D682" s="45">
        <v>4</v>
      </c>
      <c r="E682" s="45">
        <v>2</v>
      </c>
      <c r="F682" s="46" t="s">
        <v>542</v>
      </c>
      <c r="G682" s="46"/>
      <c r="H682" s="47"/>
      <c r="I682" s="47" t="s">
        <v>298</v>
      </c>
      <c r="J682" s="45" t="str">
        <f>VLOOKUP(Table13232[[#This Row],[Track]],$C$836:$E$882,2,FALSE)</f>
        <v>NSW</v>
      </c>
      <c r="K682" s="49">
        <v>100</v>
      </c>
      <c r="L682" s="45" t="str">
        <f>IF(Table13232[[#This Row],[Fin]]&lt;&gt;"1st","",Table13232[[#This Row],[Div]]*Table13232[[#This Row],[Lev Bet]])</f>
        <v/>
      </c>
      <c r="M682" s="45">
        <f>IF(Table13232[[#This Row],[Lev Ret]]="",Table13232[[#This Row],[Lev Bet]]*-1,L682-K682)</f>
        <v>-100</v>
      </c>
      <c r="N682" s="135">
        <v>150</v>
      </c>
      <c r="O682" s="135" t="str">
        <f>IF(Table13232[[#This Row],[Fin]]&lt;&gt;"1st","",Table13232[[#This Row],[Div]]*Table13232[[#This Row],[Nat and Combo Bet]])</f>
        <v/>
      </c>
      <c r="P682" s="135">
        <f>IF(Table13232[[#This Row],[Lev Ret]]="",Table13232[[#This Row],[Nat and Combo Bet]]*-1,O682-N682)</f>
        <v>-150</v>
      </c>
      <c r="Q682" s="50">
        <f t="shared" si="30"/>
        <v>1</v>
      </c>
      <c r="R682" s="50">
        <f>IF(AND(Q681=2,Q682=1),"",IF(Q682=2,(N682+N683)/2,IF(Table13232[[#This Row],[Dual Listing]]=1,Table13232[[#This Row],[Nat and Combo Bet]],11)))</f>
        <v>150</v>
      </c>
      <c r="S682" s="50" t="str">
        <f t="shared" si="31"/>
        <v/>
      </c>
      <c r="T682" s="50">
        <f t="shared" si="32"/>
        <v>-150</v>
      </c>
      <c r="U682" s="50" t="str">
        <f>IF(Table13232[[#This Row],[Date]]&lt;$U$4,"","Live")</f>
        <v>Live</v>
      </c>
      <c r="V682" s="45" t="str">
        <f>TEXT(Table13232[[#This Row],[Date]],"DDD")</f>
        <v>Sun</v>
      </c>
      <c r="W682" s="45" t="str">
        <f>PROPER(TRIM(Table13232[[#This Row],[Horse]]))</f>
        <v>Dark Simba</v>
      </c>
    </row>
    <row r="683" spans="1:23" x14ac:dyDescent="0.25">
      <c r="A683" s="43">
        <v>45998</v>
      </c>
      <c r="B683" s="44">
        <v>0.63194444444444442</v>
      </c>
      <c r="C683" s="44" t="s">
        <v>11</v>
      </c>
      <c r="D683" s="45">
        <v>6</v>
      </c>
      <c r="E683" s="45">
        <v>6</v>
      </c>
      <c r="F683" s="46" t="s">
        <v>212</v>
      </c>
      <c r="G683" s="46" t="s">
        <v>21</v>
      </c>
      <c r="H683" s="47">
        <v>2.4500000000000002</v>
      </c>
      <c r="I683" s="52" t="s">
        <v>297</v>
      </c>
      <c r="J683" s="45" t="str">
        <f>VLOOKUP(Table13232[[#This Row],[Track]],$C$836:$E$882,2,FALSE)</f>
        <v>NSW</v>
      </c>
      <c r="K683" s="49">
        <v>100</v>
      </c>
      <c r="L683" s="45">
        <f>IF(Table13232[[#This Row],[Fin]]&lt;&gt;"1st","",Table13232[[#This Row],[Div]]*Table13232[[#This Row],[Lev Bet]])</f>
        <v>245.00000000000003</v>
      </c>
      <c r="M683" s="45">
        <f>IF(Table13232[[#This Row],[Lev Ret]]="",Table13232[[#This Row],[Lev Bet]]*-1,L683-K683)</f>
        <v>145.00000000000003</v>
      </c>
      <c r="N683" s="135">
        <v>150</v>
      </c>
      <c r="O683" s="135">
        <f>IF(Table13232[[#This Row],[Fin]]&lt;&gt;"1st","",Table13232[[#This Row],[Div]]*Table13232[[#This Row],[Nat and Combo Bet]])</f>
        <v>367.5</v>
      </c>
      <c r="P683" s="135">
        <f>IF(Table13232[[#This Row],[Lev Ret]]="",Table13232[[#This Row],[Nat and Combo Bet]]*-1,O683-N683)</f>
        <v>217.5</v>
      </c>
      <c r="Q683" s="50">
        <f t="shared" si="30"/>
        <v>1</v>
      </c>
      <c r="R683" s="50">
        <f>IF(AND(Q682=2,Q683=1),"",IF(Q683=2,(N683+N684)/2,IF(Table13232[[#This Row],[Dual Listing]]=1,Table13232[[#This Row],[Nat and Combo Bet]],11)))</f>
        <v>150</v>
      </c>
      <c r="S683" s="50">
        <f t="shared" si="31"/>
        <v>367.5</v>
      </c>
      <c r="T683" s="50">
        <f t="shared" si="32"/>
        <v>217.5</v>
      </c>
      <c r="U683" s="50" t="str">
        <f>IF(Table13232[[#This Row],[Date]]&lt;$U$4,"","Live")</f>
        <v>Live</v>
      </c>
      <c r="V683" s="45" t="str">
        <f>TEXT(Table13232[[#This Row],[Date]],"DDD")</f>
        <v>Sun</v>
      </c>
      <c r="W683" s="45" t="str">
        <f>PROPER(TRIM(Table13232[[#This Row],[Horse]]))</f>
        <v>Hawker Hall</v>
      </c>
    </row>
    <row r="684" spans="1:23" x14ac:dyDescent="0.25">
      <c r="A684" s="43">
        <v>45998</v>
      </c>
      <c r="B684" s="44">
        <v>0.70833333333333337</v>
      </c>
      <c r="C684" s="44" t="s">
        <v>11</v>
      </c>
      <c r="D684" s="45">
        <v>9</v>
      </c>
      <c r="E684" s="45">
        <v>4</v>
      </c>
      <c r="F684" s="46" t="s">
        <v>522</v>
      </c>
      <c r="G684" s="46"/>
      <c r="H684" s="47"/>
      <c r="I684" s="52" t="s">
        <v>297</v>
      </c>
      <c r="J684" s="45" t="str">
        <f>VLOOKUP(Table13232[[#This Row],[Track]],$C$836:$E$882,2,FALSE)</f>
        <v>NSW</v>
      </c>
      <c r="K684" s="49">
        <v>100</v>
      </c>
      <c r="L684" s="45" t="str">
        <f>IF(Table13232[[#This Row],[Fin]]&lt;&gt;"1st","",Table13232[[#This Row],[Div]]*Table13232[[#This Row],[Lev Bet]])</f>
        <v/>
      </c>
      <c r="M684" s="45">
        <f>IF(Table13232[[#This Row],[Lev Ret]]="",Table13232[[#This Row],[Lev Bet]]*-1,L684-K684)</f>
        <v>-100</v>
      </c>
      <c r="N684" s="135">
        <v>150</v>
      </c>
      <c r="O684" s="135" t="str">
        <f>IF(Table13232[[#This Row],[Fin]]&lt;&gt;"1st","",Table13232[[#This Row],[Div]]*Table13232[[#This Row],[Nat and Combo Bet]])</f>
        <v/>
      </c>
      <c r="P684" s="135">
        <f>IF(Table13232[[#This Row],[Lev Ret]]="",Table13232[[#This Row],[Nat and Combo Bet]]*-1,O684-N684)</f>
        <v>-150</v>
      </c>
      <c r="Q684" s="50">
        <f t="shared" si="30"/>
        <v>1</v>
      </c>
      <c r="R684" s="50">
        <f>IF(AND(Q683=2,Q684=1),"",IF(Q684=2,(N684+N685)/2,IF(Table13232[[#This Row],[Dual Listing]]=1,Table13232[[#This Row],[Nat and Combo Bet]],11)))</f>
        <v>150</v>
      </c>
      <c r="S684" s="50" t="str">
        <f t="shared" si="31"/>
        <v/>
      </c>
      <c r="T684" s="50">
        <f t="shared" si="32"/>
        <v>-150</v>
      </c>
      <c r="U684" s="50" t="str">
        <f>IF(Table13232[[#This Row],[Date]]&lt;$U$4,"","Live")</f>
        <v>Live</v>
      </c>
      <c r="V684" s="45" t="str">
        <f>TEXT(Table13232[[#This Row],[Date]],"DDD")</f>
        <v>Sun</v>
      </c>
      <c r="W684" s="45" t="str">
        <f>PROPER(TRIM(Table13232[[#This Row],[Horse]]))</f>
        <v>Hurstville Zagreb</v>
      </c>
    </row>
    <row r="685" spans="1:23" x14ac:dyDescent="0.25">
      <c r="A685" s="43">
        <v>45998</v>
      </c>
      <c r="B685" s="44">
        <v>0.73611111111111116</v>
      </c>
      <c r="C685" s="44" t="s">
        <v>11</v>
      </c>
      <c r="D685" s="45">
        <v>10</v>
      </c>
      <c r="E685" s="45">
        <v>13</v>
      </c>
      <c r="F685" s="46" t="s">
        <v>538</v>
      </c>
      <c r="G685" s="46" t="s">
        <v>23</v>
      </c>
      <c r="H685" s="47"/>
      <c r="I685" s="47" t="s">
        <v>298</v>
      </c>
      <c r="J685" s="45" t="str">
        <f>VLOOKUP(Table13232[[#This Row],[Track]],$C$836:$E$882,2,FALSE)</f>
        <v>NSW</v>
      </c>
      <c r="K685" s="49">
        <v>100</v>
      </c>
      <c r="L685" s="45" t="str">
        <f>IF(Table13232[[#This Row],[Fin]]&lt;&gt;"1st","",Table13232[[#This Row],[Div]]*Table13232[[#This Row],[Lev Bet]])</f>
        <v/>
      </c>
      <c r="M685" s="45">
        <f>IF(Table13232[[#This Row],[Lev Ret]]="",Table13232[[#This Row],[Lev Bet]]*-1,L685-K685)</f>
        <v>-100</v>
      </c>
      <c r="N685" s="135">
        <v>150</v>
      </c>
      <c r="O685" s="135" t="str">
        <f>IF(Table13232[[#This Row],[Fin]]&lt;&gt;"1st","",Table13232[[#This Row],[Div]]*Table13232[[#This Row],[Nat and Combo Bet]])</f>
        <v/>
      </c>
      <c r="P685" s="135">
        <f>IF(Table13232[[#This Row],[Lev Ret]]="",Table13232[[#This Row],[Nat and Combo Bet]]*-1,O685-N685)</f>
        <v>-150</v>
      </c>
      <c r="Q685" s="50">
        <f t="shared" si="30"/>
        <v>1</v>
      </c>
      <c r="R685" s="50">
        <f>IF(AND(Q684=2,Q685=1),"",IF(Q685=2,(N685+N686)/2,IF(Table13232[[#This Row],[Dual Listing]]=1,Table13232[[#This Row],[Nat and Combo Bet]],11)))</f>
        <v>150</v>
      </c>
      <c r="S685" s="50" t="str">
        <f t="shared" si="31"/>
        <v/>
      </c>
      <c r="T685" s="50">
        <f t="shared" si="32"/>
        <v>-150</v>
      </c>
      <c r="U685" s="50" t="str">
        <f>IF(Table13232[[#This Row],[Date]]&lt;$U$4,"","Live")</f>
        <v>Live</v>
      </c>
      <c r="V685" s="45" t="str">
        <f>TEXT(Table13232[[#This Row],[Date]],"DDD")</f>
        <v>Sun</v>
      </c>
      <c r="W685" s="45" t="str">
        <f>PROPER(TRIM(Table13232[[#This Row],[Horse]]))</f>
        <v>Applaud</v>
      </c>
    </row>
    <row r="686" spans="1:23" x14ac:dyDescent="0.25">
      <c r="A686" s="43">
        <v>46004</v>
      </c>
      <c r="B686" s="44">
        <v>0.52083333333333337</v>
      </c>
      <c r="C686" s="44" t="s">
        <v>13</v>
      </c>
      <c r="D686" s="45">
        <v>1</v>
      </c>
      <c r="E686" s="45">
        <v>9</v>
      </c>
      <c r="F686" s="46" t="s">
        <v>543</v>
      </c>
      <c r="G686" s="46"/>
      <c r="H686" s="47"/>
      <c r="I686" s="47" t="s">
        <v>298</v>
      </c>
      <c r="J686" s="45" t="str">
        <f>VLOOKUP(Table13232[[#This Row],[Track]],$C$836:$E$882,2,FALSE)</f>
        <v>NSW</v>
      </c>
      <c r="K686" s="49">
        <v>100</v>
      </c>
      <c r="L686" s="45" t="str">
        <f>IF(Table13232[[#This Row],[Fin]]&lt;&gt;"1st","",Table13232[[#This Row],[Div]]*Table13232[[#This Row],[Lev Bet]])</f>
        <v/>
      </c>
      <c r="M686" s="45">
        <f>IF(Table13232[[#This Row],[Lev Ret]]="",Table13232[[#This Row],[Lev Bet]]*-1,L686-K686)</f>
        <v>-100</v>
      </c>
      <c r="N686" s="135">
        <v>150</v>
      </c>
      <c r="O686" s="135" t="str">
        <f>IF(Table13232[[#This Row],[Fin]]&lt;&gt;"1st","",Table13232[[#This Row],[Div]]*Table13232[[#This Row],[Nat and Combo Bet]])</f>
        <v/>
      </c>
      <c r="P686" s="135">
        <f>IF(Table13232[[#This Row],[Lev Ret]]="",Table13232[[#This Row],[Nat and Combo Bet]]*-1,O686-N686)</f>
        <v>-150</v>
      </c>
      <c r="Q686" s="50">
        <f t="shared" si="30"/>
        <v>1</v>
      </c>
      <c r="R686" s="50">
        <f>IF(AND(Q685=2,Q686=1),"",IF(Q686=2,(N686+N687)/2,IF(Table13232[[#This Row],[Dual Listing]]=1,Table13232[[#This Row],[Nat and Combo Bet]],11)))</f>
        <v>150</v>
      </c>
      <c r="S686" s="50" t="str">
        <f t="shared" si="31"/>
        <v/>
      </c>
      <c r="T686" s="50">
        <f t="shared" si="32"/>
        <v>-150</v>
      </c>
      <c r="U686" s="50" t="str">
        <f>IF(Table13232[[#This Row],[Date]]&lt;$U$4,"","Live")</f>
        <v>Live</v>
      </c>
      <c r="V686" s="45" t="str">
        <f>TEXT(Table13232[[#This Row],[Date]],"DDD")</f>
        <v>Sat</v>
      </c>
      <c r="W686" s="45" t="str">
        <f>PROPER(TRIM(Table13232[[#This Row],[Horse]]))</f>
        <v>Waku Waku</v>
      </c>
    </row>
    <row r="687" spans="1:23" x14ac:dyDescent="0.25">
      <c r="A687" s="43">
        <v>46004</v>
      </c>
      <c r="B687" s="44">
        <v>0.55555555555555558</v>
      </c>
      <c r="C687" s="44" t="s">
        <v>288</v>
      </c>
      <c r="D687" s="45">
        <v>4.8</v>
      </c>
      <c r="E687" s="45">
        <v>3</v>
      </c>
      <c r="F687" s="46" t="s">
        <v>544</v>
      </c>
      <c r="G687" s="46" t="s">
        <v>23</v>
      </c>
      <c r="H687" s="47"/>
      <c r="I687" s="52" t="s">
        <v>297</v>
      </c>
      <c r="J687" s="45" t="str">
        <f>VLOOKUP(Table13232[[#This Row],[Track]],$C$836:$E$882,2,FALSE)</f>
        <v>Vic</v>
      </c>
      <c r="K687" s="49">
        <v>100</v>
      </c>
      <c r="L687" s="45" t="str">
        <f>IF(Table13232[[#This Row],[Fin]]&lt;&gt;"1st","",Table13232[[#This Row],[Div]]*Table13232[[#This Row],[Lev Bet]])</f>
        <v/>
      </c>
      <c r="M687" s="45">
        <f>IF(Table13232[[#This Row],[Lev Ret]]="",Table13232[[#This Row],[Lev Bet]]*-1,L687-K687)</f>
        <v>-100</v>
      </c>
      <c r="N687" s="135">
        <v>120</v>
      </c>
      <c r="O687" s="135" t="str">
        <f>IF(Table13232[[#This Row],[Fin]]&lt;&gt;"1st","",Table13232[[#This Row],[Div]]*Table13232[[#This Row],[Nat and Combo Bet]])</f>
        <v/>
      </c>
      <c r="P687" s="135">
        <f>IF(Table13232[[#This Row],[Lev Ret]]="",Table13232[[#This Row],[Nat and Combo Bet]]*-1,O687-N687)</f>
        <v>-120</v>
      </c>
      <c r="Q687" s="50">
        <f t="shared" si="30"/>
        <v>1</v>
      </c>
      <c r="R687" s="50">
        <f>IF(AND(Q686=2,Q687=1),"",IF(Q687=2,(N687+N688)/2,IF(Table13232[[#This Row],[Dual Listing]]=1,Table13232[[#This Row],[Nat and Combo Bet]],11)))</f>
        <v>120</v>
      </c>
      <c r="S687" s="50" t="str">
        <f t="shared" si="31"/>
        <v/>
      </c>
      <c r="T687" s="50">
        <f t="shared" si="32"/>
        <v>-120</v>
      </c>
      <c r="U687" s="50" t="str">
        <f>IF(Table13232[[#This Row],[Date]]&lt;$U$4,"","Live")</f>
        <v>Live</v>
      </c>
      <c r="V687" s="45" t="str">
        <f>TEXT(Table13232[[#This Row],[Date]],"DDD")</f>
        <v>Sat</v>
      </c>
      <c r="W687" s="45" t="str">
        <f>PROPER(TRIM(Table13232[[#This Row],[Horse]]))</f>
        <v>I Only Wish</v>
      </c>
    </row>
    <row r="688" spans="1:23" x14ac:dyDescent="0.25">
      <c r="A688" s="43">
        <v>46004</v>
      </c>
      <c r="B688" s="44">
        <v>0.55555555555555558</v>
      </c>
      <c r="C688" s="44" t="s">
        <v>288</v>
      </c>
      <c r="D688" s="45">
        <v>2.6</v>
      </c>
      <c r="E688" s="45">
        <v>3</v>
      </c>
      <c r="F688" s="46" t="s">
        <v>545</v>
      </c>
      <c r="G688" s="46" t="s">
        <v>21</v>
      </c>
      <c r="H688" s="47">
        <v>2.6</v>
      </c>
      <c r="I688" s="52" t="s">
        <v>297</v>
      </c>
      <c r="J688" s="45" t="str">
        <f>VLOOKUP(Table13232[[#This Row],[Track]],$C$836:$E$882,2,FALSE)</f>
        <v>Vic</v>
      </c>
      <c r="K688" s="49">
        <v>100</v>
      </c>
      <c r="L688" s="45">
        <f>IF(Table13232[[#This Row],[Fin]]&lt;&gt;"1st","",Table13232[[#This Row],[Div]]*Table13232[[#This Row],[Lev Bet]])</f>
        <v>260</v>
      </c>
      <c r="M688" s="45">
        <f>IF(Table13232[[#This Row],[Lev Ret]]="",Table13232[[#This Row],[Lev Bet]]*-1,L688-K688)</f>
        <v>160</v>
      </c>
      <c r="N688" s="135">
        <v>100</v>
      </c>
      <c r="O688" s="135">
        <f>IF(Table13232[[#This Row],[Fin]]&lt;&gt;"1st","",Table13232[[#This Row],[Div]]*Table13232[[#This Row],[Nat and Combo Bet]])</f>
        <v>260</v>
      </c>
      <c r="P688" s="135">
        <f>IF(Table13232[[#This Row],[Lev Ret]]="",Table13232[[#This Row],[Nat and Combo Bet]]*-1,O688-N688)</f>
        <v>160</v>
      </c>
      <c r="Q688" s="50">
        <f t="shared" si="30"/>
        <v>1</v>
      </c>
      <c r="R688" s="50">
        <f>IF(AND(Q687=2,Q688=1),"",IF(Q688=2,(N688+N689)/2,IF(Table13232[[#This Row],[Dual Listing]]=1,Table13232[[#This Row],[Nat and Combo Bet]],11)))</f>
        <v>100</v>
      </c>
      <c r="S688" s="50">
        <f t="shared" si="31"/>
        <v>260</v>
      </c>
      <c r="T688" s="50">
        <f t="shared" si="32"/>
        <v>160</v>
      </c>
      <c r="U688" s="50" t="str">
        <f>IF(Table13232[[#This Row],[Date]]&lt;$U$4,"","Live")</f>
        <v>Live</v>
      </c>
      <c r="V688" s="45" t="str">
        <f>TEXT(Table13232[[#This Row],[Date]],"DDD")</f>
        <v>Sat</v>
      </c>
      <c r="W688" s="45" t="str">
        <f>PROPER(TRIM(Table13232[[#This Row],[Horse]]))</f>
        <v>Jenni Gone Bonkers</v>
      </c>
    </row>
    <row r="689" spans="1:23" x14ac:dyDescent="0.25">
      <c r="A689" s="43">
        <v>46004</v>
      </c>
      <c r="B689" s="44">
        <v>0.59375</v>
      </c>
      <c r="C689" s="44" t="s">
        <v>13</v>
      </c>
      <c r="D689" s="45">
        <v>2.8</v>
      </c>
      <c r="E689" s="45">
        <v>4</v>
      </c>
      <c r="F689" s="46" t="s">
        <v>189</v>
      </c>
      <c r="G689" s="46" t="s">
        <v>23</v>
      </c>
      <c r="H689" s="47"/>
      <c r="I689" s="52" t="s">
        <v>297</v>
      </c>
      <c r="J689" s="45" t="str">
        <f>VLOOKUP(Table13232[[#This Row],[Track]],$C$836:$E$882,2,FALSE)</f>
        <v>NSW</v>
      </c>
      <c r="K689" s="49">
        <v>100</v>
      </c>
      <c r="L689" s="45" t="str">
        <f>IF(Table13232[[#This Row],[Fin]]&lt;&gt;"1st","",Table13232[[#This Row],[Div]]*Table13232[[#This Row],[Lev Bet]])</f>
        <v/>
      </c>
      <c r="M689" s="45">
        <f>IF(Table13232[[#This Row],[Lev Ret]]="",Table13232[[#This Row],[Lev Bet]]*-1,L689-K689)</f>
        <v>-100</v>
      </c>
      <c r="N689" s="135">
        <v>150</v>
      </c>
      <c r="O689" s="135" t="str">
        <f>IF(Table13232[[#This Row],[Fin]]&lt;&gt;"1st","",Table13232[[#This Row],[Div]]*Table13232[[#This Row],[Nat and Combo Bet]])</f>
        <v/>
      </c>
      <c r="P689" s="135">
        <f>IF(Table13232[[#This Row],[Lev Ret]]="",Table13232[[#This Row],[Nat and Combo Bet]]*-1,O689-N689)</f>
        <v>-150</v>
      </c>
      <c r="Q689" s="50">
        <f t="shared" si="30"/>
        <v>1</v>
      </c>
      <c r="R689" s="50">
        <f>IF(AND(Q688=2,Q689=1),"",IF(Q689=2,(N689+N690)/2,IF(Table13232[[#This Row],[Dual Listing]]=1,Table13232[[#This Row],[Nat and Combo Bet]],11)))</f>
        <v>150</v>
      </c>
      <c r="S689" s="50" t="str">
        <f t="shared" si="31"/>
        <v/>
      </c>
      <c r="T689" s="50">
        <f t="shared" si="32"/>
        <v>-150</v>
      </c>
      <c r="U689" s="50" t="str">
        <f>IF(Table13232[[#This Row],[Date]]&lt;$U$4,"","Live")</f>
        <v>Live</v>
      </c>
      <c r="V689" s="45" t="str">
        <f>TEXT(Table13232[[#This Row],[Date]],"DDD")</f>
        <v>Sat</v>
      </c>
      <c r="W689" s="45" t="str">
        <f>PROPER(TRIM(Table13232[[#This Row],[Horse]]))</f>
        <v>Snack Bar</v>
      </c>
    </row>
    <row r="690" spans="1:23" x14ac:dyDescent="0.25">
      <c r="A690" s="43">
        <v>46004</v>
      </c>
      <c r="B690" s="44">
        <v>0.62361111111111112</v>
      </c>
      <c r="C690" s="44" t="s">
        <v>12</v>
      </c>
      <c r="D690" s="45">
        <v>4</v>
      </c>
      <c r="E690" s="45">
        <v>7</v>
      </c>
      <c r="F690" s="46" t="s">
        <v>546</v>
      </c>
      <c r="G690" s="46"/>
      <c r="H690" s="47"/>
      <c r="I690" s="47" t="s">
        <v>298</v>
      </c>
      <c r="J690" s="45" t="str">
        <f>VLOOKUP(Table13232[[#This Row],[Track]],$C$836:$E$882,2,FALSE)</f>
        <v>Qld</v>
      </c>
      <c r="K690" s="49">
        <v>100</v>
      </c>
      <c r="L690" s="45" t="str">
        <f>IF(Table13232[[#This Row],[Fin]]&lt;&gt;"1st","",Table13232[[#This Row],[Div]]*Table13232[[#This Row],[Lev Bet]])</f>
        <v/>
      </c>
      <c r="M690" s="45">
        <f>IF(Table13232[[#This Row],[Lev Ret]]="",Table13232[[#This Row],[Lev Bet]]*-1,L690-K690)</f>
        <v>-100</v>
      </c>
      <c r="N690" s="135">
        <v>100</v>
      </c>
      <c r="O690" s="135" t="str">
        <f>IF(Table13232[[#This Row],[Fin]]&lt;&gt;"1st","",Table13232[[#This Row],[Div]]*Table13232[[#This Row],[Nat and Combo Bet]])</f>
        <v/>
      </c>
      <c r="P690" s="135">
        <f>IF(Table13232[[#This Row],[Lev Ret]]="",Table13232[[#This Row],[Nat and Combo Bet]]*-1,O690-N690)</f>
        <v>-100</v>
      </c>
      <c r="Q690" s="50">
        <f t="shared" si="30"/>
        <v>1</v>
      </c>
      <c r="R690" s="50">
        <f>IF(AND(Q689=2,Q690=1),"",IF(Q690=2,(N690+N691)/2,IF(Table13232[[#This Row],[Dual Listing]]=1,Table13232[[#This Row],[Nat and Combo Bet]],11)))</f>
        <v>100</v>
      </c>
      <c r="S690" s="50" t="str">
        <f t="shared" si="31"/>
        <v/>
      </c>
      <c r="T690" s="50">
        <f t="shared" si="32"/>
        <v>-100</v>
      </c>
      <c r="U690" s="50" t="str">
        <f>IF(Table13232[[#This Row],[Date]]&lt;$U$4,"","Live")</f>
        <v>Live</v>
      </c>
      <c r="V690" s="45" t="str">
        <f>TEXT(Table13232[[#This Row],[Date]],"DDD")</f>
        <v>Sat</v>
      </c>
      <c r="W690" s="45" t="str">
        <f>PROPER(TRIM(Table13232[[#This Row],[Horse]]))</f>
        <v>Barberry Spur</v>
      </c>
    </row>
    <row r="691" spans="1:23" x14ac:dyDescent="0.25">
      <c r="A691" s="43">
        <v>46004</v>
      </c>
      <c r="B691" s="44">
        <v>0.62847222222222221</v>
      </c>
      <c r="C691" s="44" t="s">
        <v>288</v>
      </c>
      <c r="D691" s="45">
        <v>11</v>
      </c>
      <c r="E691" s="45">
        <v>6</v>
      </c>
      <c r="F691" s="46" t="s">
        <v>547</v>
      </c>
      <c r="G691" s="46" t="s">
        <v>23</v>
      </c>
      <c r="H691" s="47"/>
      <c r="I691" s="52" t="s">
        <v>297</v>
      </c>
      <c r="J691" s="45" t="str">
        <f>VLOOKUP(Table13232[[#This Row],[Track]],$C$836:$E$882,2,FALSE)</f>
        <v>Vic</v>
      </c>
      <c r="K691" s="49">
        <v>100</v>
      </c>
      <c r="L691" s="45" t="str">
        <f>IF(Table13232[[#This Row],[Fin]]&lt;&gt;"1st","",Table13232[[#This Row],[Div]]*Table13232[[#This Row],[Lev Bet]])</f>
        <v/>
      </c>
      <c r="M691" s="45">
        <f>IF(Table13232[[#This Row],[Lev Ret]]="",Table13232[[#This Row],[Lev Bet]]*-1,L691-K691)</f>
        <v>-100</v>
      </c>
      <c r="N691" s="135">
        <v>50</v>
      </c>
      <c r="O691" s="135" t="str">
        <f>IF(Table13232[[#This Row],[Fin]]&lt;&gt;"1st","",Table13232[[#This Row],[Div]]*Table13232[[#This Row],[Nat and Combo Bet]])</f>
        <v/>
      </c>
      <c r="P691" s="135">
        <f>IF(Table13232[[#This Row],[Lev Ret]]="",Table13232[[#This Row],[Nat and Combo Bet]]*-1,O691-N691)</f>
        <v>-50</v>
      </c>
      <c r="Q691" s="50">
        <f t="shared" si="30"/>
        <v>1</v>
      </c>
      <c r="R691" s="50">
        <f>IF(AND(Q690=2,Q691=1),"",IF(Q691=2,(N691+N692)/2,IF(Table13232[[#This Row],[Dual Listing]]=1,Table13232[[#This Row],[Nat and Combo Bet]],11)))</f>
        <v>50</v>
      </c>
      <c r="S691" s="50" t="str">
        <f t="shared" si="31"/>
        <v/>
      </c>
      <c r="T691" s="50">
        <f t="shared" si="32"/>
        <v>-50</v>
      </c>
      <c r="U691" s="50" t="str">
        <f>IF(Table13232[[#This Row],[Date]]&lt;$U$4,"","Live")</f>
        <v>Live</v>
      </c>
      <c r="V691" s="45" t="str">
        <f>TEXT(Table13232[[#This Row],[Date]],"DDD")</f>
        <v>Sat</v>
      </c>
      <c r="W691" s="45" t="str">
        <f>PROPER(TRIM(Table13232[[#This Row],[Horse]]))</f>
        <v>Hiyaam Proud</v>
      </c>
    </row>
    <row r="692" spans="1:23" x14ac:dyDescent="0.25">
      <c r="A692" s="43">
        <v>46004</v>
      </c>
      <c r="B692" s="44">
        <v>0.65069444444444446</v>
      </c>
      <c r="C692" s="44" t="s">
        <v>12</v>
      </c>
      <c r="D692" s="45">
        <v>5</v>
      </c>
      <c r="E692" s="45">
        <v>16</v>
      </c>
      <c r="F692" s="46" t="s">
        <v>532</v>
      </c>
      <c r="G692" s="46"/>
      <c r="H692" s="47"/>
      <c r="I692" s="47" t="s">
        <v>298</v>
      </c>
      <c r="J692" s="45" t="str">
        <f>VLOOKUP(Table13232[[#This Row],[Track]],$C$836:$E$882,2,FALSE)</f>
        <v>Qld</v>
      </c>
      <c r="K692" s="49">
        <v>100</v>
      </c>
      <c r="L692" s="45" t="str">
        <f>IF(Table13232[[#This Row],[Fin]]&lt;&gt;"1st","",Table13232[[#This Row],[Div]]*Table13232[[#This Row],[Lev Bet]])</f>
        <v/>
      </c>
      <c r="M692" s="45">
        <f>IF(Table13232[[#This Row],[Lev Ret]]="",Table13232[[#This Row],[Lev Bet]]*-1,L692-K692)</f>
        <v>-100</v>
      </c>
      <c r="N692" s="135">
        <v>100</v>
      </c>
      <c r="O692" s="135" t="str">
        <f>IF(Table13232[[#This Row],[Fin]]&lt;&gt;"1st","",Table13232[[#This Row],[Div]]*Table13232[[#This Row],[Nat and Combo Bet]])</f>
        <v/>
      </c>
      <c r="P692" s="135">
        <f>IF(Table13232[[#This Row],[Lev Ret]]="",Table13232[[#This Row],[Nat and Combo Bet]]*-1,O692-N692)</f>
        <v>-100</v>
      </c>
      <c r="Q692" s="50">
        <f t="shared" si="30"/>
        <v>1</v>
      </c>
      <c r="R692" s="50">
        <f>IF(AND(Q691=2,Q692=1),"",IF(Q692=2,(N692+N693)/2,IF(Table13232[[#This Row],[Dual Listing]]=1,Table13232[[#This Row],[Nat and Combo Bet]],11)))</f>
        <v>100</v>
      </c>
      <c r="S692" s="50" t="str">
        <f t="shared" si="31"/>
        <v/>
      </c>
      <c r="T692" s="50">
        <f t="shared" si="32"/>
        <v>-100</v>
      </c>
      <c r="U692" s="50" t="str">
        <f>IF(Table13232[[#This Row],[Date]]&lt;$U$4,"","Live")</f>
        <v>Live</v>
      </c>
      <c r="V692" s="45" t="str">
        <f>TEXT(Table13232[[#This Row],[Date]],"DDD")</f>
        <v>Sat</v>
      </c>
      <c r="W692" s="45" t="str">
        <f>PROPER(TRIM(Table13232[[#This Row],[Horse]]))</f>
        <v>Balance The Books</v>
      </c>
    </row>
    <row r="693" spans="1:23" x14ac:dyDescent="0.25">
      <c r="A693" s="43">
        <v>46004</v>
      </c>
      <c r="B693" s="44">
        <v>0.65625</v>
      </c>
      <c r="C693" s="44" t="s">
        <v>288</v>
      </c>
      <c r="D693" s="45">
        <v>4</v>
      </c>
      <c r="E693" s="45">
        <v>7</v>
      </c>
      <c r="F693" s="46" t="s">
        <v>548</v>
      </c>
      <c r="G693" s="46"/>
      <c r="H693" s="47"/>
      <c r="I693" s="52" t="s">
        <v>297</v>
      </c>
      <c r="J693" s="45" t="str">
        <f>VLOOKUP(Table13232[[#This Row],[Track]],$C$836:$E$882,2,FALSE)</f>
        <v>Vic</v>
      </c>
      <c r="K693" s="49">
        <v>100</v>
      </c>
      <c r="L693" s="45" t="str">
        <f>IF(Table13232[[#This Row],[Fin]]&lt;&gt;"1st","",Table13232[[#This Row],[Div]]*Table13232[[#This Row],[Lev Bet]])</f>
        <v/>
      </c>
      <c r="M693" s="45">
        <f>IF(Table13232[[#This Row],[Lev Ret]]="",Table13232[[#This Row],[Lev Bet]]*-1,L693-K693)</f>
        <v>-100</v>
      </c>
      <c r="N693" s="135">
        <v>150</v>
      </c>
      <c r="O693" s="135" t="str">
        <f>IF(Table13232[[#This Row],[Fin]]&lt;&gt;"1st","",Table13232[[#This Row],[Div]]*Table13232[[#This Row],[Nat and Combo Bet]])</f>
        <v/>
      </c>
      <c r="P693" s="135">
        <f>IF(Table13232[[#This Row],[Lev Ret]]="",Table13232[[#This Row],[Nat and Combo Bet]]*-1,O693-N693)</f>
        <v>-150</v>
      </c>
      <c r="Q693" s="50">
        <f t="shared" si="30"/>
        <v>1</v>
      </c>
      <c r="R693" s="50">
        <f>IF(AND(Q692=2,Q693=1),"",IF(Q693=2,(N693+N694)/2,IF(Table13232[[#This Row],[Dual Listing]]=1,Table13232[[#This Row],[Nat and Combo Bet]],11)))</f>
        <v>150</v>
      </c>
      <c r="S693" s="50" t="str">
        <f t="shared" si="31"/>
        <v/>
      </c>
      <c r="T693" s="50">
        <f t="shared" si="32"/>
        <v>-150</v>
      </c>
      <c r="U693" s="50" t="str">
        <f>IF(Table13232[[#This Row],[Date]]&lt;$U$4,"","Live")</f>
        <v>Live</v>
      </c>
      <c r="V693" s="45" t="str">
        <f>TEXT(Table13232[[#This Row],[Date]],"DDD")</f>
        <v>Sat</v>
      </c>
      <c r="W693" s="45" t="str">
        <f>PROPER(TRIM(Table13232[[#This Row],[Horse]]))</f>
        <v>Skippers Canyon</v>
      </c>
    </row>
    <row r="694" spans="1:23" x14ac:dyDescent="0.25">
      <c r="A694" s="43">
        <v>46004</v>
      </c>
      <c r="B694" s="44">
        <v>0.68402777777777779</v>
      </c>
      <c r="C694" s="44" t="s">
        <v>288</v>
      </c>
      <c r="D694" s="45">
        <v>13</v>
      </c>
      <c r="E694" s="45">
        <v>8</v>
      </c>
      <c r="F694" s="46" t="s">
        <v>77</v>
      </c>
      <c r="G694" s="46" t="s">
        <v>21</v>
      </c>
      <c r="H694" s="47">
        <v>13</v>
      </c>
      <c r="I694" s="52" t="s">
        <v>297</v>
      </c>
      <c r="J694" s="45" t="str">
        <f>VLOOKUP(Table13232[[#This Row],[Track]],$C$836:$E$882,2,FALSE)</f>
        <v>Vic</v>
      </c>
      <c r="K694" s="49">
        <v>100</v>
      </c>
      <c r="L694" s="45">
        <f>IF(Table13232[[#This Row],[Fin]]&lt;&gt;"1st","",Table13232[[#This Row],[Div]]*Table13232[[#This Row],[Lev Bet]])</f>
        <v>1300</v>
      </c>
      <c r="M694" s="45">
        <f>IF(Table13232[[#This Row],[Lev Ret]]="",Table13232[[#This Row],[Lev Bet]]*-1,L694-K694)</f>
        <v>1200</v>
      </c>
      <c r="N694" s="135">
        <v>50</v>
      </c>
      <c r="O694" s="135">
        <f>IF(Table13232[[#This Row],[Fin]]&lt;&gt;"1st","",Table13232[[#This Row],[Div]]*Table13232[[#This Row],[Nat and Combo Bet]])</f>
        <v>650</v>
      </c>
      <c r="P694" s="135">
        <f>IF(Table13232[[#This Row],[Lev Ret]]="",Table13232[[#This Row],[Nat and Combo Bet]]*-1,O694-N694)</f>
        <v>600</v>
      </c>
      <c r="Q694" s="50">
        <f t="shared" si="30"/>
        <v>1</v>
      </c>
      <c r="R694" s="50">
        <f>IF(AND(Q693=2,Q694=1),"",IF(Q694=2,(N694+N695)/2,IF(Table13232[[#This Row],[Dual Listing]]=1,Table13232[[#This Row],[Nat and Combo Bet]],11)))</f>
        <v>50</v>
      </c>
      <c r="S694" s="50">
        <f t="shared" si="31"/>
        <v>650</v>
      </c>
      <c r="T694" s="50">
        <f t="shared" si="32"/>
        <v>600</v>
      </c>
      <c r="U694" s="50" t="str">
        <f>IF(Table13232[[#This Row],[Date]]&lt;$U$4,"","Live")</f>
        <v>Live</v>
      </c>
      <c r="V694" s="45" t="str">
        <f>TEXT(Table13232[[#This Row],[Date]],"DDD")</f>
        <v>Sat</v>
      </c>
      <c r="W694" s="45" t="str">
        <f>PROPER(TRIM(Table13232[[#This Row],[Horse]]))</f>
        <v>Warnie</v>
      </c>
    </row>
    <row r="695" spans="1:23" x14ac:dyDescent="0.25">
      <c r="A695" s="43">
        <v>46004</v>
      </c>
      <c r="B695" s="44">
        <v>0.71180555555555558</v>
      </c>
      <c r="C695" s="44" t="s">
        <v>288</v>
      </c>
      <c r="D695" s="45">
        <v>4.8</v>
      </c>
      <c r="E695" s="45">
        <v>9</v>
      </c>
      <c r="F695" s="46" t="s">
        <v>138</v>
      </c>
      <c r="G695" s="46"/>
      <c r="H695" s="47"/>
      <c r="I695" s="52" t="s">
        <v>297</v>
      </c>
      <c r="J695" s="45" t="str">
        <f>VLOOKUP(Table13232[[#This Row],[Track]],$C$836:$E$882,2,FALSE)</f>
        <v>Vic</v>
      </c>
      <c r="K695" s="49">
        <v>100</v>
      </c>
      <c r="L695" s="45" t="str">
        <f>IF(Table13232[[#This Row],[Fin]]&lt;&gt;"1st","",Table13232[[#This Row],[Div]]*Table13232[[#This Row],[Lev Bet]])</f>
        <v/>
      </c>
      <c r="M695" s="45">
        <f>IF(Table13232[[#This Row],[Lev Ret]]="",Table13232[[#This Row],[Lev Bet]]*-1,L695-K695)</f>
        <v>-100</v>
      </c>
      <c r="N695" s="135">
        <v>100</v>
      </c>
      <c r="O695" s="135" t="str">
        <f>IF(Table13232[[#This Row],[Fin]]&lt;&gt;"1st","",Table13232[[#This Row],[Div]]*Table13232[[#This Row],[Nat and Combo Bet]])</f>
        <v/>
      </c>
      <c r="P695" s="135">
        <f>IF(Table13232[[#This Row],[Lev Ret]]="",Table13232[[#This Row],[Nat and Combo Bet]]*-1,O695-N695)</f>
        <v>-100</v>
      </c>
      <c r="Q695" s="50">
        <f t="shared" si="30"/>
        <v>1</v>
      </c>
      <c r="R695" s="50">
        <f>IF(AND(Q694=2,Q695=1),"",IF(Q695=2,(N695+N696)/2,IF(Table13232[[#This Row],[Dual Listing]]=1,Table13232[[#This Row],[Nat and Combo Bet]],11)))</f>
        <v>100</v>
      </c>
      <c r="S695" s="50" t="str">
        <f t="shared" si="31"/>
        <v/>
      </c>
      <c r="T695" s="50">
        <f t="shared" si="32"/>
        <v>-100</v>
      </c>
      <c r="U695" s="50" t="str">
        <f>IF(Table13232[[#This Row],[Date]]&lt;$U$4,"","Live")</f>
        <v>Live</v>
      </c>
      <c r="V695" s="45" t="str">
        <f>TEXT(Table13232[[#This Row],[Date]],"DDD")</f>
        <v>Sat</v>
      </c>
      <c r="W695" s="45" t="str">
        <f>PROPER(TRIM(Table13232[[#This Row],[Horse]]))</f>
        <v>Ndola</v>
      </c>
    </row>
    <row r="696" spans="1:23" x14ac:dyDescent="0.25">
      <c r="A696" s="43">
        <v>46004</v>
      </c>
      <c r="B696" s="44">
        <v>0.71180555555555558</v>
      </c>
      <c r="C696" s="44" t="s">
        <v>288</v>
      </c>
      <c r="D696" s="45">
        <v>2.2000000000000002</v>
      </c>
      <c r="E696" s="45">
        <v>9</v>
      </c>
      <c r="F696" s="46" t="s">
        <v>323</v>
      </c>
      <c r="G696" s="46" t="s">
        <v>21</v>
      </c>
      <c r="H696" s="47">
        <v>1.9</v>
      </c>
      <c r="I696" s="52" t="s">
        <v>297</v>
      </c>
      <c r="J696" s="45" t="str">
        <f>VLOOKUP(Table13232[[#This Row],[Track]],$C$836:$E$882,2,FALSE)</f>
        <v>Vic</v>
      </c>
      <c r="K696" s="49">
        <v>100</v>
      </c>
      <c r="L696" s="45">
        <f>IF(Table13232[[#This Row],[Fin]]&lt;&gt;"1st","",Table13232[[#This Row],[Div]]*Table13232[[#This Row],[Lev Bet]])</f>
        <v>190</v>
      </c>
      <c r="M696" s="45">
        <f>IF(Table13232[[#This Row],[Lev Ret]]="",Table13232[[#This Row],[Lev Bet]]*-1,L696-K696)</f>
        <v>90</v>
      </c>
      <c r="N696" s="135">
        <v>150</v>
      </c>
      <c r="O696" s="135">
        <f>IF(Table13232[[#This Row],[Fin]]&lt;&gt;"1st","",Table13232[[#This Row],[Div]]*Table13232[[#This Row],[Nat and Combo Bet]])</f>
        <v>285</v>
      </c>
      <c r="P696" s="135">
        <f>IF(Table13232[[#This Row],[Lev Ret]]="",Table13232[[#This Row],[Nat and Combo Bet]]*-1,O696-N696)</f>
        <v>135</v>
      </c>
      <c r="Q696" s="50">
        <f t="shared" si="30"/>
        <v>1</v>
      </c>
      <c r="R696" s="50">
        <f>IF(AND(Q695=2,Q696=1),"",IF(Q696=2,(N696+N697)/2,IF(Table13232[[#This Row],[Dual Listing]]=1,Table13232[[#This Row],[Nat and Combo Bet]],11)))</f>
        <v>150</v>
      </c>
      <c r="S696" s="50">
        <f t="shared" si="31"/>
        <v>285</v>
      </c>
      <c r="T696" s="50">
        <f t="shared" si="32"/>
        <v>135</v>
      </c>
      <c r="U696" s="50" t="str">
        <f>IF(Table13232[[#This Row],[Date]]&lt;$U$4,"","Live")</f>
        <v>Live</v>
      </c>
      <c r="V696" s="45" t="str">
        <f>TEXT(Table13232[[#This Row],[Date]],"DDD")</f>
        <v>Sat</v>
      </c>
      <c r="W696" s="45" t="str">
        <f>PROPER(TRIM(Table13232[[#This Row],[Horse]]))</f>
        <v>Persian Spirit</v>
      </c>
    </row>
    <row r="697" spans="1:23" x14ac:dyDescent="0.25">
      <c r="A697" s="43">
        <v>46004</v>
      </c>
      <c r="B697" s="44">
        <v>0.72222222222222221</v>
      </c>
      <c r="C697" s="44" t="s">
        <v>13</v>
      </c>
      <c r="D697" s="45">
        <v>3.2</v>
      </c>
      <c r="E697" s="45">
        <v>9</v>
      </c>
      <c r="F697" s="46" t="s">
        <v>549</v>
      </c>
      <c r="G697" s="46" t="s">
        <v>21</v>
      </c>
      <c r="H697" s="47">
        <v>2.9</v>
      </c>
      <c r="I697" s="52" t="s">
        <v>297</v>
      </c>
      <c r="J697" s="45" t="str">
        <f>VLOOKUP(Table13232[[#This Row],[Track]],$C$836:$E$882,2,FALSE)</f>
        <v>NSW</v>
      </c>
      <c r="K697" s="49">
        <v>100</v>
      </c>
      <c r="L697" s="45">
        <f>IF(Table13232[[#This Row],[Fin]]&lt;&gt;"1st","",Table13232[[#This Row],[Div]]*Table13232[[#This Row],[Lev Bet]])</f>
        <v>290</v>
      </c>
      <c r="M697" s="45">
        <f>IF(Table13232[[#This Row],[Lev Ret]]="",Table13232[[#This Row],[Lev Bet]]*-1,L697-K697)</f>
        <v>190</v>
      </c>
      <c r="N697" s="135">
        <v>140</v>
      </c>
      <c r="O697" s="135">
        <f>IF(Table13232[[#This Row],[Fin]]&lt;&gt;"1st","",Table13232[[#This Row],[Div]]*Table13232[[#This Row],[Nat and Combo Bet]])</f>
        <v>406</v>
      </c>
      <c r="P697" s="135">
        <f>IF(Table13232[[#This Row],[Lev Ret]]="",Table13232[[#This Row],[Nat and Combo Bet]]*-1,O697-N697)</f>
        <v>266</v>
      </c>
      <c r="Q697" s="50">
        <f t="shared" si="30"/>
        <v>1</v>
      </c>
      <c r="R697" s="50">
        <f>IF(AND(Q696=2,Q697=1),"",IF(Q697=2,(N697+N698)/2,IF(Table13232[[#This Row],[Dual Listing]]=1,Table13232[[#This Row],[Nat and Combo Bet]],11)))</f>
        <v>140</v>
      </c>
      <c r="S697" s="50">
        <f t="shared" si="31"/>
        <v>406</v>
      </c>
      <c r="T697" s="50">
        <f t="shared" si="32"/>
        <v>266</v>
      </c>
      <c r="U697" s="50" t="str">
        <f>IF(Table13232[[#This Row],[Date]]&lt;$U$4,"","Live")</f>
        <v>Live</v>
      </c>
      <c r="V697" s="45" t="str">
        <f>TEXT(Table13232[[#This Row],[Date]],"DDD")</f>
        <v>Sat</v>
      </c>
      <c r="W697" s="45" t="str">
        <f>PROPER(TRIM(Table13232[[#This Row],[Horse]]))</f>
        <v>Weeping Woman</v>
      </c>
    </row>
    <row r="698" spans="1:23" x14ac:dyDescent="0.25">
      <c r="A698" s="43">
        <v>46004</v>
      </c>
      <c r="B698" s="44">
        <v>0.73055555555555551</v>
      </c>
      <c r="C698" s="44" t="s">
        <v>12</v>
      </c>
      <c r="D698" s="45">
        <v>8</v>
      </c>
      <c r="E698" s="45">
        <v>11</v>
      </c>
      <c r="F698" s="46" t="s">
        <v>550</v>
      </c>
      <c r="G698" s="46"/>
      <c r="H698" s="47"/>
      <c r="I698" s="47" t="s">
        <v>298</v>
      </c>
      <c r="J698" s="45" t="str">
        <f>VLOOKUP(Table13232[[#This Row],[Track]],$C$836:$E$882,2,FALSE)</f>
        <v>Qld</v>
      </c>
      <c r="K698" s="49">
        <v>100</v>
      </c>
      <c r="L698" s="45" t="str">
        <f>IF(Table13232[[#This Row],[Fin]]&lt;&gt;"1st","",Table13232[[#This Row],[Div]]*Table13232[[#This Row],[Lev Bet]])</f>
        <v/>
      </c>
      <c r="M698" s="45">
        <f>IF(Table13232[[#This Row],[Lev Ret]]="",Table13232[[#This Row],[Lev Bet]]*-1,L698-K698)</f>
        <v>-100</v>
      </c>
      <c r="N698" s="135">
        <v>100</v>
      </c>
      <c r="O698" s="135" t="str">
        <f>IF(Table13232[[#This Row],[Fin]]&lt;&gt;"1st","",Table13232[[#This Row],[Div]]*Table13232[[#This Row],[Nat and Combo Bet]])</f>
        <v/>
      </c>
      <c r="P698" s="135">
        <f>IF(Table13232[[#This Row],[Lev Ret]]="",Table13232[[#This Row],[Nat and Combo Bet]]*-1,O698-N698)</f>
        <v>-100</v>
      </c>
      <c r="Q698" s="50">
        <f t="shared" si="30"/>
        <v>1</v>
      </c>
      <c r="R698" s="50">
        <f>IF(AND(Q697=2,Q698=1),"",IF(Q698=2,(N698+N699)/2,IF(Table13232[[#This Row],[Dual Listing]]=1,Table13232[[#This Row],[Nat and Combo Bet]],11)))</f>
        <v>100</v>
      </c>
      <c r="S698" s="50" t="str">
        <f t="shared" si="31"/>
        <v/>
      </c>
      <c r="T698" s="50">
        <f t="shared" si="32"/>
        <v>-100</v>
      </c>
      <c r="U698" s="50" t="str">
        <f>IF(Table13232[[#This Row],[Date]]&lt;$U$4,"","Live")</f>
        <v>Live</v>
      </c>
      <c r="V698" s="45" t="str">
        <f>TEXT(Table13232[[#This Row],[Date]],"DDD")</f>
        <v>Sat</v>
      </c>
      <c r="W698" s="45" t="str">
        <f>PROPER(TRIM(Table13232[[#This Row],[Horse]]))</f>
        <v>Ready To Schipp</v>
      </c>
    </row>
    <row r="699" spans="1:23" x14ac:dyDescent="0.25">
      <c r="A699" s="43">
        <v>46004</v>
      </c>
      <c r="B699" s="44">
        <v>0.74652777777777779</v>
      </c>
      <c r="C699" s="44" t="s">
        <v>13</v>
      </c>
      <c r="D699" s="45">
        <v>3.3</v>
      </c>
      <c r="E699" s="45">
        <v>10</v>
      </c>
      <c r="F699" s="46" t="s">
        <v>551</v>
      </c>
      <c r="G699" s="46" t="s">
        <v>21</v>
      </c>
      <c r="H699" s="47">
        <v>3</v>
      </c>
      <c r="I699" s="52" t="s">
        <v>297</v>
      </c>
      <c r="J699" s="45" t="str">
        <f>VLOOKUP(Table13232[[#This Row],[Track]],$C$836:$E$882,2,FALSE)</f>
        <v>NSW</v>
      </c>
      <c r="K699" s="49">
        <v>100</v>
      </c>
      <c r="L699" s="45">
        <f>IF(Table13232[[#This Row],[Fin]]&lt;&gt;"1st","",Table13232[[#This Row],[Div]]*Table13232[[#This Row],[Lev Bet]])</f>
        <v>300</v>
      </c>
      <c r="M699" s="45">
        <f>IF(Table13232[[#This Row],[Lev Ret]]="",Table13232[[#This Row],[Lev Bet]]*-1,L699-K699)</f>
        <v>200</v>
      </c>
      <c r="N699" s="135">
        <v>150</v>
      </c>
      <c r="O699" s="135">
        <f>IF(Table13232[[#This Row],[Fin]]&lt;&gt;"1st","",Table13232[[#This Row],[Div]]*Table13232[[#This Row],[Nat and Combo Bet]])</f>
        <v>450</v>
      </c>
      <c r="P699" s="135">
        <f>IF(Table13232[[#This Row],[Lev Ret]]="",Table13232[[#This Row],[Nat and Combo Bet]]*-1,O699-N699)</f>
        <v>300</v>
      </c>
      <c r="Q699" s="50">
        <f t="shared" si="30"/>
        <v>1</v>
      </c>
      <c r="R699" s="50">
        <f>IF(AND(Q698=2,Q699=1),"",IF(Q699=2,(N699+N700)/2,IF(Table13232[[#This Row],[Dual Listing]]=1,Table13232[[#This Row],[Nat and Combo Bet]],11)))</f>
        <v>150</v>
      </c>
      <c r="S699" s="50">
        <f t="shared" si="31"/>
        <v>450</v>
      </c>
      <c r="T699" s="50">
        <f t="shared" si="32"/>
        <v>300</v>
      </c>
      <c r="U699" s="50" t="str">
        <f>IF(Table13232[[#This Row],[Date]]&lt;$U$4,"","Live")</f>
        <v>Live</v>
      </c>
      <c r="V699" s="45" t="str">
        <f>TEXT(Table13232[[#This Row],[Date]],"DDD")</f>
        <v>Sat</v>
      </c>
      <c r="W699" s="45" t="str">
        <f>PROPER(TRIM(Table13232[[#This Row],[Horse]]))</f>
        <v>Theblade</v>
      </c>
    </row>
    <row r="700" spans="1:23" x14ac:dyDescent="0.25">
      <c r="A700" s="43">
        <v>46004</v>
      </c>
      <c r="B700" s="44">
        <v>0.78194444444444444</v>
      </c>
      <c r="C700" s="44" t="s">
        <v>12</v>
      </c>
      <c r="D700" s="45">
        <v>10</v>
      </c>
      <c r="E700" s="45">
        <v>5</v>
      </c>
      <c r="F700" s="46" t="s">
        <v>552</v>
      </c>
      <c r="G700" s="46"/>
      <c r="H700" s="47"/>
      <c r="I700" s="47" t="s">
        <v>298</v>
      </c>
      <c r="J700" s="45" t="str">
        <f>VLOOKUP(Table13232[[#This Row],[Track]],$C$836:$E$882,2,FALSE)</f>
        <v>Qld</v>
      </c>
      <c r="K700" s="49">
        <v>100</v>
      </c>
      <c r="L700" s="45" t="str">
        <f>IF(Table13232[[#This Row],[Fin]]&lt;&gt;"1st","",Table13232[[#This Row],[Div]]*Table13232[[#This Row],[Lev Bet]])</f>
        <v/>
      </c>
      <c r="M700" s="45">
        <f>IF(Table13232[[#This Row],[Lev Ret]]="",Table13232[[#This Row],[Lev Bet]]*-1,L700-K700)</f>
        <v>-100</v>
      </c>
      <c r="N700" s="135">
        <v>100</v>
      </c>
      <c r="O700" s="135" t="str">
        <f>IF(Table13232[[#This Row],[Fin]]&lt;&gt;"1st","",Table13232[[#This Row],[Div]]*Table13232[[#This Row],[Nat and Combo Bet]])</f>
        <v/>
      </c>
      <c r="P700" s="135">
        <f>IF(Table13232[[#This Row],[Lev Ret]]="",Table13232[[#This Row],[Nat and Combo Bet]]*-1,O700-N700)</f>
        <v>-100</v>
      </c>
      <c r="Q700" s="50">
        <f t="shared" si="30"/>
        <v>1</v>
      </c>
      <c r="R700" s="50">
        <f>IF(AND(Q699=2,Q700=1),"",IF(Q700=2,(N700+N701)/2,IF(Table13232[[#This Row],[Dual Listing]]=1,Table13232[[#This Row],[Nat and Combo Bet]],11)))</f>
        <v>100</v>
      </c>
      <c r="S700" s="50" t="str">
        <f t="shared" si="31"/>
        <v/>
      </c>
      <c r="T700" s="50">
        <f t="shared" si="32"/>
        <v>-100</v>
      </c>
      <c r="U700" s="50" t="str">
        <f>IF(Table13232[[#This Row],[Date]]&lt;$U$4,"","Live")</f>
        <v>Live</v>
      </c>
      <c r="V700" s="45" t="str">
        <f>TEXT(Table13232[[#This Row],[Date]],"DDD")</f>
        <v>Sat</v>
      </c>
      <c r="W700" s="45" t="str">
        <f>PROPER(TRIM(Table13232[[#This Row],[Horse]]))</f>
        <v>Flying Aurelius</v>
      </c>
    </row>
    <row r="701" spans="1:23" x14ac:dyDescent="0.25">
      <c r="A701" s="109">
        <v>46011</v>
      </c>
      <c r="B701" s="53">
        <v>0.53472222222222221</v>
      </c>
      <c r="C701" s="110" t="s">
        <v>554</v>
      </c>
      <c r="D701" s="111">
        <v>2</v>
      </c>
      <c r="E701" s="111">
        <v>8</v>
      </c>
      <c r="F701" s="112" t="s">
        <v>555</v>
      </c>
      <c r="G701" s="112"/>
      <c r="H701" s="113"/>
      <c r="I701" s="52" t="s">
        <v>297</v>
      </c>
      <c r="J701" s="45" t="str">
        <f>VLOOKUP(Table13232[[#This Row],[Track]],$C$836:$E$882,2,FALSE)</f>
        <v>Vic</v>
      </c>
      <c r="K701" s="49">
        <v>100</v>
      </c>
      <c r="L701" s="45" t="str">
        <f>IF(Table13232[[#This Row],[Fin]]&lt;&gt;"1st","",Table13232[[#This Row],[Div]]*Table13232[[#This Row],[Lev Bet]])</f>
        <v/>
      </c>
      <c r="M701" s="45">
        <f>IF(Table13232[[#This Row],[Lev Ret]]="",Table13232[[#This Row],[Lev Bet]]*-1,L701-K701)</f>
        <v>-100</v>
      </c>
      <c r="N701" s="135">
        <v>200</v>
      </c>
      <c r="O701" s="135" t="str">
        <f>IF(Table13232[[#This Row],[Fin]]&lt;&gt;"1st","",Table13232[[#This Row],[Div]]*Table13232[[#This Row],[Nat and Combo Bet]])</f>
        <v/>
      </c>
      <c r="P701" s="135">
        <f>IF(Table13232[[#This Row],[Lev Ret]]="",Table13232[[#This Row],[Nat and Combo Bet]]*-1,O701-N701)</f>
        <v>-200</v>
      </c>
      <c r="Q701" s="50">
        <f t="shared" si="30"/>
        <v>2</v>
      </c>
      <c r="R701" s="50">
        <f>IF(AND(Q700=2,Q701=1),"",IF(Q701=2,(N701+N702)/2,IF(Table13232[[#This Row],[Dual Listing]]=1,Table13232[[#This Row],[Nat and Combo Bet]],11)))</f>
        <v>200</v>
      </c>
      <c r="S701" s="50" t="str">
        <f t="shared" si="31"/>
        <v/>
      </c>
      <c r="T701" s="50">
        <f t="shared" si="32"/>
        <v>-200</v>
      </c>
      <c r="U701" s="50" t="str">
        <f>IF(Table13232[[#This Row],[Date]]&lt;$U$4,"","Live")</f>
        <v>Live</v>
      </c>
      <c r="V701" s="45" t="str">
        <f>TEXT(Table13232[[#This Row],[Date]],"DDD")</f>
        <v>Sat</v>
      </c>
      <c r="W701" s="45" t="str">
        <f>PROPER(TRIM(Table13232[[#This Row],[Horse]]))</f>
        <v>Oraqua</v>
      </c>
    </row>
    <row r="702" spans="1:23" x14ac:dyDescent="0.25">
      <c r="A702" s="109">
        <v>46011</v>
      </c>
      <c r="B702" s="53">
        <v>0.53472222222222221</v>
      </c>
      <c r="C702" s="110" t="s">
        <v>553</v>
      </c>
      <c r="D702" s="111">
        <v>2</v>
      </c>
      <c r="E702" s="111">
        <v>8</v>
      </c>
      <c r="F702" s="112" t="s">
        <v>555</v>
      </c>
      <c r="G702" s="112"/>
      <c r="H702" s="113"/>
      <c r="I702" s="47" t="s">
        <v>298</v>
      </c>
      <c r="J702" s="45" t="str">
        <f>VLOOKUP(Table13232[[#This Row],[Track]],$C$836:$E$882,2,FALSE)</f>
        <v>Vic</v>
      </c>
      <c r="K702" s="49">
        <v>100</v>
      </c>
      <c r="L702" s="45" t="str">
        <f>IF(Table13232[[#This Row],[Fin]]&lt;&gt;"1st","",Table13232[[#This Row],[Div]]*Table13232[[#This Row],[Lev Bet]])</f>
        <v/>
      </c>
      <c r="M702" s="45">
        <f>IF(Table13232[[#This Row],[Lev Ret]]="",Table13232[[#This Row],[Lev Bet]]*-1,L702-K702)</f>
        <v>-100</v>
      </c>
      <c r="N702" s="135">
        <v>200</v>
      </c>
      <c r="O702" s="135" t="str">
        <f>IF(Table13232[[#This Row],[Fin]]&lt;&gt;"1st","",Table13232[[#This Row],[Div]]*Table13232[[#This Row],[Nat and Combo Bet]])</f>
        <v/>
      </c>
      <c r="P702" s="135">
        <f>IF(Table13232[[#This Row],[Lev Ret]]="",Table13232[[#This Row],[Nat and Combo Bet]]*-1,O702-N702)</f>
        <v>-200</v>
      </c>
      <c r="Q702" s="50">
        <f t="shared" si="30"/>
        <v>1</v>
      </c>
      <c r="R702" s="50" t="str">
        <f>IF(AND(Q701=2,Q702=1),"",IF(Q702=2,(N702+N703)/2,IF(Table13232[[#This Row],[Dual Listing]]=1,Table13232[[#This Row],[Nat and Combo Bet]],11)))</f>
        <v/>
      </c>
      <c r="S702" s="50" t="str">
        <f t="shared" si="31"/>
        <v/>
      </c>
      <c r="T702" s="50" t="str">
        <f t="shared" si="32"/>
        <v/>
      </c>
      <c r="U702" s="50" t="str">
        <f>IF(Table13232[[#This Row],[Date]]&lt;$U$4,"","Live")</f>
        <v>Live</v>
      </c>
      <c r="V702" s="45" t="str">
        <f>TEXT(Table13232[[#This Row],[Date]],"DDD")</f>
        <v>Sat</v>
      </c>
      <c r="W702" s="45" t="str">
        <f>PROPER(TRIM(Table13232[[#This Row],[Horse]]))</f>
        <v>Oraqua</v>
      </c>
    </row>
    <row r="703" spans="1:23" x14ac:dyDescent="0.25">
      <c r="A703" s="43">
        <v>46011</v>
      </c>
      <c r="B703" s="44">
        <v>0.54861111111111116</v>
      </c>
      <c r="C703" s="44" t="s">
        <v>13</v>
      </c>
      <c r="D703" s="45">
        <v>2</v>
      </c>
      <c r="E703" s="45">
        <v>5</v>
      </c>
      <c r="F703" s="46" t="s">
        <v>556</v>
      </c>
      <c r="G703" s="46"/>
      <c r="H703" s="47"/>
      <c r="I703" s="52" t="s">
        <v>297</v>
      </c>
      <c r="J703" s="45" t="str">
        <f>VLOOKUP(Table13232[[#This Row],[Track]],$C$836:$E$882,2,FALSE)</f>
        <v>NSW</v>
      </c>
      <c r="K703" s="49">
        <v>100</v>
      </c>
      <c r="L703" s="45" t="str">
        <f>IF(Table13232[[#This Row],[Fin]]&lt;&gt;"1st","",Table13232[[#This Row],[Div]]*Table13232[[#This Row],[Lev Bet]])</f>
        <v/>
      </c>
      <c r="M703" s="45">
        <f>IF(Table13232[[#This Row],[Lev Ret]]="",Table13232[[#This Row],[Lev Bet]]*-1,L703-K703)</f>
        <v>-100</v>
      </c>
      <c r="N703" s="135">
        <v>150</v>
      </c>
      <c r="O703" s="135" t="str">
        <f>IF(Table13232[[#This Row],[Fin]]&lt;&gt;"1st","",Table13232[[#This Row],[Div]]*Table13232[[#This Row],[Nat and Combo Bet]])</f>
        <v/>
      </c>
      <c r="P703" s="135">
        <f>IF(Table13232[[#This Row],[Lev Ret]]="",Table13232[[#This Row],[Nat and Combo Bet]]*-1,O703-N703)</f>
        <v>-150</v>
      </c>
      <c r="Q703" s="50">
        <f t="shared" si="30"/>
        <v>1</v>
      </c>
      <c r="R703" s="50">
        <f>IF(AND(Q702=2,Q703=1),"",IF(Q703=2,(N703+N704)/2,IF(Table13232[[#This Row],[Dual Listing]]=1,Table13232[[#This Row],[Nat and Combo Bet]],11)))</f>
        <v>150</v>
      </c>
      <c r="S703" s="50" t="str">
        <f t="shared" si="31"/>
        <v/>
      </c>
      <c r="T703" s="50">
        <f t="shared" si="32"/>
        <v>-150</v>
      </c>
      <c r="U703" s="50" t="str">
        <f>IF(Table13232[[#This Row],[Date]]&lt;$U$4,"","Live")</f>
        <v>Live</v>
      </c>
      <c r="V703" s="45" t="str">
        <f>TEXT(Table13232[[#This Row],[Date]],"DDD")</f>
        <v>Sat</v>
      </c>
      <c r="W703" s="45" t="str">
        <f>PROPER(TRIM(Table13232[[#This Row],[Horse]]))</f>
        <v>Oakfield Saturn</v>
      </c>
    </row>
    <row r="704" spans="1:23" x14ac:dyDescent="0.25">
      <c r="A704" s="43">
        <v>46011</v>
      </c>
      <c r="B704" s="44">
        <v>0.5541666666666667</v>
      </c>
      <c r="C704" s="44" t="s">
        <v>12</v>
      </c>
      <c r="D704" s="45">
        <v>1</v>
      </c>
      <c r="E704" s="45">
        <v>3</v>
      </c>
      <c r="F704" s="46" t="s">
        <v>563</v>
      </c>
      <c r="G704" s="46" t="s">
        <v>23</v>
      </c>
      <c r="H704" s="47"/>
      <c r="I704" s="47" t="s">
        <v>298</v>
      </c>
      <c r="J704" s="45" t="str">
        <f>VLOOKUP(Table13232[[#This Row],[Track]],$C$836:$E$882,2,FALSE)</f>
        <v>Qld</v>
      </c>
      <c r="K704" s="49">
        <v>100</v>
      </c>
      <c r="L704" s="45" t="str">
        <f>IF(Table13232[[#This Row],[Fin]]&lt;&gt;"1st","",Table13232[[#This Row],[Div]]*Table13232[[#This Row],[Lev Bet]])</f>
        <v/>
      </c>
      <c r="M704" s="45">
        <f>IF(Table13232[[#This Row],[Lev Ret]]="",Table13232[[#This Row],[Lev Bet]]*-1,L704-K704)</f>
        <v>-100</v>
      </c>
      <c r="N704" s="135">
        <v>100</v>
      </c>
      <c r="O704" s="135" t="str">
        <f>IF(Table13232[[#This Row],[Fin]]&lt;&gt;"1st","",Table13232[[#This Row],[Div]]*Table13232[[#This Row],[Nat and Combo Bet]])</f>
        <v/>
      </c>
      <c r="P704" s="135">
        <f>IF(Table13232[[#This Row],[Lev Ret]]="",Table13232[[#This Row],[Nat and Combo Bet]]*-1,O704-N704)</f>
        <v>-100</v>
      </c>
      <c r="Q704" s="50">
        <f t="shared" si="30"/>
        <v>1</v>
      </c>
      <c r="R704" s="50">
        <f>IF(AND(Q703=2,Q704=1),"",IF(Q704=2,(N704+N705)/2,IF(Table13232[[#This Row],[Dual Listing]]=1,Table13232[[#This Row],[Nat and Combo Bet]],11)))</f>
        <v>100</v>
      </c>
      <c r="S704" s="50" t="str">
        <f t="shared" si="31"/>
        <v/>
      </c>
      <c r="T704" s="50">
        <f t="shared" si="32"/>
        <v>-100</v>
      </c>
      <c r="U704" s="50" t="str">
        <f>IF(Table13232[[#This Row],[Date]]&lt;$U$4,"","Live")</f>
        <v>Live</v>
      </c>
      <c r="V704" s="45" t="str">
        <f>TEXT(Table13232[[#This Row],[Date]],"DDD")</f>
        <v>Sat</v>
      </c>
      <c r="W704" s="45" t="str">
        <f>PROPER(TRIM(Table13232[[#This Row],[Horse]]))</f>
        <v>Overfull</v>
      </c>
    </row>
    <row r="705" spans="1:23" x14ac:dyDescent="0.25">
      <c r="A705" s="43">
        <v>46011</v>
      </c>
      <c r="B705" s="44">
        <v>0.58333333333333337</v>
      </c>
      <c r="C705" s="44" t="s">
        <v>554</v>
      </c>
      <c r="D705" s="45">
        <v>4</v>
      </c>
      <c r="E705" s="45">
        <v>6</v>
      </c>
      <c r="F705" s="46" t="s">
        <v>558</v>
      </c>
      <c r="G705" s="46"/>
      <c r="H705" s="47"/>
      <c r="I705" s="52" t="s">
        <v>297</v>
      </c>
      <c r="J705" s="45" t="str">
        <f>VLOOKUP(Table13232[[#This Row],[Track]],$C$836:$E$882,2,FALSE)</f>
        <v>Vic</v>
      </c>
      <c r="K705" s="49">
        <v>100</v>
      </c>
      <c r="L705" s="45" t="str">
        <f>IF(Table13232[[#This Row],[Fin]]&lt;&gt;"1st","",Table13232[[#This Row],[Div]]*Table13232[[#This Row],[Lev Bet]])</f>
        <v/>
      </c>
      <c r="M705" s="45">
        <f>IF(Table13232[[#This Row],[Lev Ret]]="",Table13232[[#This Row],[Lev Bet]]*-1,L705-K705)</f>
        <v>-100</v>
      </c>
      <c r="N705" s="135">
        <v>150</v>
      </c>
      <c r="O705" s="135" t="str">
        <f>IF(Table13232[[#This Row],[Fin]]&lt;&gt;"1st","",Table13232[[#This Row],[Div]]*Table13232[[#This Row],[Nat and Combo Bet]])</f>
        <v/>
      </c>
      <c r="P705" s="135">
        <f>IF(Table13232[[#This Row],[Lev Ret]]="",Table13232[[#This Row],[Nat and Combo Bet]]*-1,O705-N705)</f>
        <v>-150</v>
      </c>
      <c r="Q705" s="50">
        <f t="shared" si="30"/>
        <v>1</v>
      </c>
      <c r="R705" s="50">
        <f>IF(AND(Q704=2,Q705=1),"",IF(Q705=2,(N705+N706)/2,IF(Table13232[[#This Row],[Dual Listing]]=1,Table13232[[#This Row],[Nat and Combo Bet]],11)))</f>
        <v>150</v>
      </c>
      <c r="S705" s="50" t="str">
        <f t="shared" si="31"/>
        <v/>
      </c>
      <c r="T705" s="50">
        <f t="shared" si="32"/>
        <v>-150</v>
      </c>
      <c r="U705" s="50" t="str">
        <f>IF(Table13232[[#This Row],[Date]]&lt;$U$4,"","Live")</f>
        <v>Live</v>
      </c>
      <c r="V705" s="45" t="str">
        <f>TEXT(Table13232[[#This Row],[Date]],"DDD")</f>
        <v>Sat</v>
      </c>
      <c r="W705" s="45" t="str">
        <f>PROPER(TRIM(Table13232[[#This Row],[Horse]]))</f>
        <v>Chest Of Gold</v>
      </c>
    </row>
    <row r="706" spans="1:23" x14ac:dyDescent="0.25">
      <c r="A706" s="109">
        <v>46011</v>
      </c>
      <c r="B706" s="53">
        <v>0.58333333333333337</v>
      </c>
      <c r="C706" s="110" t="s">
        <v>554</v>
      </c>
      <c r="D706" s="111">
        <v>4</v>
      </c>
      <c r="E706" s="111">
        <v>9</v>
      </c>
      <c r="F706" s="112" t="s">
        <v>557</v>
      </c>
      <c r="G706" s="112" t="s">
        <v>23</v>
      </c>
      <c r="H706" s="113"/>
      <c r="I706" s="52" t="s">
        <v>297</v>
      </c>
      <c r="J706" s="45" t="str">
        <f>VLOOKUP(Table13232[[#This Row],[Track]],$C$836:$E$882,2,FALSE)</f>
        <v>Vic</v>
      </c>
      <c r="K706" s="49">
        <v>100</v>
      </c>
      <c r="L706" s="45" t="str">
        <f>IF(Table13232[[#This Row],[Fin]]&lt;&gt;"1st","",Table13232[[#This Row],[Div]]*Table13232[[#This Row],[Lev Bet]])</f>
        <v/>
      </c>
      <c r="M706" s="45">
        <f>IF(Table13232[[#This Row],[Lev Ret]]="",Table13232[[#This Row],[Lev Bet]]*-1,L706-K706)</f>
        <v>-100</v>
      </c>
      <c r="N706" s="135">
        <v>100</v>
      </c>
      <c r="O706" s="135" t="str">
        <f>IF(Table13232[[#This Row],[Fin]]&lt;&gt;"1st","",Table13232[[#This Row],[Div]]*Table13232[[#This Row],[Nat and Combo Bet]])</f>
        <v/>
      </c>
      <c r="P706" s="135">
        <f>IF(Table13232[[#This Row],[Lev Ret]]="",Table13232[[#This Row],[Nat and Combo Bet]]*-1,O706-N706)</f>
        <v>-100</v>
      </c>
      <c r="Q706" s="50">
        <f t="shared" si="30"/>
        <v>2</v>
      </c>
      <c r="R706" s="50">
        <f>IF(AND(Q705=2,Q706=1),"",IF(Q706=2,(N706+N707)/2,IF(Table13232[[#This Row],[Dual Listing]]=1,Table13232[[#This Row],[Nat and Combo Bet]],11)))</f>
        <v>150</v>
      </c>
      <c r="S706" s="50" t="str">
        <f t="shared" si="31"/>
        <v/>
      </c>
      <c r="T706" s="50">
        <f t="shared" si="32"/>
        <v>-150</v>
      </c>
      <c r="U706" s="50" t="str">
        <f>IF(Table13232[[#This Row],[Date]]&lt;$U$4,"","Live")</f>
        <v>Live</v>
      </c>
      <c r="V706" s="45" t="str">
        <f>TEXT(Table13232[[#This Row],[Date]],"DDD")</f>
        <v>Sat</v>
      </c>
      <c r="W706" s="45" t="str">
        <f>PROPER(TRIM(Table13232[[#This Row],[Horse]]))</f>
        <v>Knobelas</v>
      </c>
    </row>
    <row r="707" spans="1:23" x14ac:dyDescent="0.25">
      <c r="A707" s="109">
        <v>46011</v>
      </c>
      <c r="B707" s="53">
        <v>0.58333333333333337</v>
      </c>
      <c r="C707" s="110" t="s">
        <v>553</v>
      </c>
      <c r="D707" s="111">
        <v>4</v>
      </c>
      <c r="E707" s="111">
        <v>9</v>
      </c>
      <c r="F707" s="112" t="s">
        <v>557</v>
      </c>
      <c r="G707" s="112" t="s">
        <v>23</v>
      </c>
      <c r="H707" s="113"/>
      <c r="I707" s="47" t="s">
        <v>298</v>
      </c>
      <c r="J707" s="45" t="str">
        <f>VLOOKUP(Table13232[[#This Row],[Track]],$C$836:$E$882,2,FALSE)</f>
        <v>Vic</v>
      </c>
      <c r="K707" s="49">
        <v>100</v>
      </c>
      <c r="L707" s="45" t="str">
        <f>IF(Table13232[[#This Row],[Fin]]&lt;&gt;"1st","",Table13232[[#This Row],[Div]]*Table13232[[#This Row],[Lev Bet]])</f>
        <v/>
      </c>
      <c r="M707" s="45">
        <f>IF(Table13232[[#This Row],[Lev Ret]]="",Table13232[[#This Row],[Lev Bet]]*-1,L707-K707)</f>
        <v>-100</v>
      </c>
      <c r="N707" s="135">
        <v>200</v>
      </c>
      <c r="O707" s="135" t="str">
        <f>IF(Table13232[[#This Row],[Fin]]&lt;&gt;"1st","",Table13232[[#This Row],[Div]]*Table13232[[#This Row],[Nat and Combo Bet]])</f>
        <v/>
      </c>
      <c r="P707" s="135">
        <f>IF(Table13232[[#This Row],[Lev Ret]]="",Table13232[[#This Row],[Nat and Combo Bet]]*-1,O707-N707)</f>
        <v>-200</v>
      </c>
      <c r="Q707" s="50">
        <f t="shared" si="30"/>
        <v>1</v>
      </c>
      <c r="R707" s="50" t="str">
        <f>IF(AND(Q706=2,Q707=1),"",IF(Q707=2,(N707+N708)/2,IF(Table13232[[#This Row],[Dual Listing]]=1,Table13232[[#This Row],[Nat and Combo Bet]],11)))</f>
        <v/>
      </c>
      <c r="S707" s="50" t="str">
        <f t="shared" si="31"/>
        <v/>
      </c>
      <c r="T707" s="50" t="str">
        <f t="shared" si="32"/>
        <v/>
      </c>
      <c r="U707" s="50" t="str">
        <f>IF(Table13232[[#This Row],[Date]]&lt;$U$4,"","Live")</f>
        <v>Live</v>
      </c>
      <c r="V707" s="45" t="str">
        <f>TEXT(Table13232[[#This Row],[Date]],"DDD")</f>
        <v>Sat</v>
      </c>
      <c r="W707" s="45" t="str">
        <f>PROPER(TRIM(Table13232[[#This Row],[Horse]]))</f>
        <v>Knobelas</v>
      </c>
    </row>
    <row r="708" spans="1:23" x14ac:dyDescent="0.25">
      <c r="A708" s="43">
        <v>46011</v>
      </c>
      <c r="B708" s="44">
        <v>0.64583333333333337</v>
      </c>
      <c r="C708" s="44" t="s">
        <v>13</v>
      </c>
      <c r="D708" s="45">
        <v>6</v>
      </c>
      <c r="E708" s="45">
        <v>2</v>
      </c>
      <c r="F708" s="46" t="s">
        <v>564</v>
      </c>
      <c r="G708" s="46" t="s">
        <v>21</v>
      </c>
      <c r="H708" s="47">
        <v>4.8</v>
      </c>
      <c r="I708" s="47" t="s">
        <v>298</v>
      </c>
      <c r="J708" s="45" t="str">
        <f>VLOOKUP(Table13232[[#This Row],[Track]],$C$836:$E$882,2,FALSE)</f>
        <v>NSW</v>
      </c>
      <c r="K708" s="49">
        <v>100</v>
      </c>
      <c r="L708" s="45">
        <f>IF(Table13232[[#This Row],[Fin]]&lt;&gt;"1st","",Table13232[[#This Row],[Div]]*Table13232[[#This Row],[Lev Bet]])</f>
        <v>480</v>
      </c>
      <c r="M708" s="45">
        <f>IF(Table13232[[#This Row],[Lev Ret]]="",Table13232[[#This Row],[Lev Bet]]*-1,L708-K708)</f>
        <v>380</v>
      </c>
      <c r="N708" s="135">
        <v>150</v>
      </c>
      <c r="O708" s="135">
        <f>IF(Table13232[[#This Row],[Fin]]&lt;&gt;"1st","",Table13232[[#This Row],[Div]]*Table13232[[#This Row],[Nat and Combo Bet]])</f>
        <v>720</v>
      </c>
      <c r="P708" s="135">
        <f>IF(Table13232[[#This Row],[Lev Ret]]="",Table13232[[#This Row],[Nat and Combo Bet]]*-1,O708-N708)</f>
        <v>570</v>
      </c>
      <c r="Q708" s="50">
        <f t="shared" si="30"/>
        <v>1</v>
      </c>
      <c r="R708" s="50">
        <f>IF(AND(Q707=2,Q708=1),"",IF(Q708=2,(N708+N709)/2,IF(Table13232[[#This Row],[Dual Listing]]=1,Table13232[[#This Row],[Nat and Combo Bet]],11)))</f>
        <v>150</v>
      </c>
      <c r="S708" s="50">
        <f t="shared" si="31"/>
        <v>720</v>
      </c>
      <c r="T708" s="50">
        <f t="shared" si="32"/>
        <v>570</v>
      </c>
      <c r="U708" s="50" t="str">
        <f>IF(Table13232[[#This Row],[Date]]&lt;$U$4,"","Live")</f>
        <v>Live</v>
      </c>
      <c r="V708" s="45" t="str">
        <f>TEXT(Table13232[[#This Row],[Date]],"DDD")</f>
        <v>Sat</v>
      </c>
      <c r="W708" s="45" t="str">
        <f>PROPER(TRIM(Table13232[[#This Row],[Horse]]))</f>
        <v>Brave Call</v>
      </c>
    </row>
    <row r="709" spans="1:23" x14ac:dyDescent="0.25">
      <c r="A709" s="43">
        <v>46011</v>
      </c>
      <c r="B709" s="44">
        <v>0.65625</v>
      </c>
      <c r="C709" s="44" t="s">
        <v>553</v>
      </c>
      <c r="D709" s="45">
        <v>7</v>
      </c>
      <c r="E709" s="45">
        <v>1</v>
      </c>
      <c r="F709" s="46" t="s">
        <v>565</v>
      </c>
      <c r="G709" s="46" t="s">
        <v>21</v>
      </c>
      <c r="H709" s="47">
        <v>1.3</v>
      </c>
      <c r="I709" s="47" t="s">
        <v>298</v>
      </c>
      <c r="J709" s="45" t="str">
        <f>VLOOKUP(Table13232[[#This Row],[Track]],$C$836:$E$882,2,FALSE)</f>
        <v>Vic</v>
      </c>
      <c r="K709" s="49">
        <v>100</v>
      </c>
      <c r="L709" s="45">
        <f>IF(Table13232[[#This Row],[Fin]]&lt;&gt;"1st","",Table13232[[#This Row],[Div]]*Table13232[[#This Row],[Lev Bet]])</f>
        <v>130</v>
      </c>
      <c r="M709" s="45">
        <f>IF(Table13232[[#This Row],[Lev Ret]]="",Table13232[[#This Row],[Lev Bet]]*-1,L709-K709)</f>
        <v>30</v>
      </c>
      <c r="N709" s="135">
        <v>150</v>
      </c>
      <c r="O709" s="135">
        <f>IF(Table13232[[#This Row],[Fin]]&lt;&gt;"1st","",Table13232[[#This Row],[Div]]*Table13232[[#This Row],[Nat and Combo Bet]])</f>
        <v>195</v>
      </c>
      <c r="P709" s="135">
        <f>IF(Table13232[[#This Row],[Lev Ret]]="",Table13232[[#This Row],[Nat and Combo Bet]]*-1,O709-N709)</f>
        <v>45</v>
      </c>
      <c r="Q709" s="50">
        <f t="shared" si="30"/>
        <v>1</v>
      </c>
      <c r="R709" s="50">
        <f>IF(AND(Q708=2,Q709=1),"",IF(Q709=2,(N709+N710)/2,IF(Table13232[[#This Row],[Dual Listing]]=1,Table13232[[#This Row],[Nat and Combo Bet]],11)))</f>
        <v>150</v>
      </c>
      <c r="S709" s="50">
        <f t="shared" si="31"/>
        <v>195</v>
      </c>
      <c r="T709" s="50">
        <f t="shared" si="32"/>
        <v>45</v>
      </c>
      <c r="U709" s="50" t="str">
        <f>IF(Table13232[[#This Row],[Date]]&lt;$U$4,"","Live")</f>
        <v>Live</v>
      </c>
      <c r="V709" s="45" t="str">
        <f>TEXT(Table13232[[#This Row],[Date]],"DDD")</f>
        <v>Sat</v>
      </c>
      <c r="W709" s="45" t="str">
        <f>PROPER(TRIM(Table13232[[#This Row],[Horse]]))</f>
        <v>Job Done</v>
      </c>
    </row>
    <row r="710" spans="1:23" x14ac:dyDescent="0.25">
      <c r="A710" s="43">
        <v>46011</v>
      </c>
      <c r="B710" s="44">
        <v>0.68402777777777779</v>
      </c>
      <c r="C710" s="44" t="s">
        <v>554</v>
      </c>
      <c r="D710" s="45">
        <v>8</v>
      </c>
      <c r="E710" s="45">
        <v>2</v>
      </c>
      <c r="F710" s="46" t="s">
        <v>559</v>
      </c>
      <c r="G710" s="46" t="s">
        <v>21</v>
      </c>
      <c r="H710" s="47">
        <v>3.9</v>
      </c>
      <c r="I710" s="52" t="s">
        <v>297</v>
      </c>
      <c r="J710" s="45" t="str">
        <f>VLOOKUP(Table13232[[#This Row],[Track]],$C$836:$E$882,2,FALSE)</f>
        <v>Vic</v>
      </c>
      <c r="K710" s="49">
        <v>100</v>
      </c>
      <c r="L710" s="45">
        <f>IF(Table13232[[#This Row],[Fin]]&lt;&gt;"1st","",Table13232[[#This Row],[Div]]*Table13232[[#This Row],[Lev Bet]])</f>
        <v>390</v>
      </c>
      <c r="M710" s="45">
        <f>IF(Table13232[[#This Row],[Lev Ret]]="",Table13232[[#This Row],[Lev Bet]]*-1,L710-K710)</f>
        <v>290</v>
      </c>
      <c r="N710" s="135">
        <v>150</v>
      </c>
      <c r="O710" s="135">
        <f>IF(Table13232[[#This Row],[Fin]]&lt;&gt;"1st","",Table13232[[#This Row],[Div]]*Table13232[[#This Row],[Nat and Combo Bet]])</f>
        <v>585</v>
      </c>
      <c r="P710" s="135">
        <f>IF(Table13232[[#This Row],[Lev Ret]]="",Table13232[[#This Row],[Nat and Combo Bet]]*-1,O710-N710)</f>
        <v>435</v>
      </c>
      <c r="Q710" s="50">
        <f t="shared" si="30"/>
        <v>1</v>
      </c>
      <c r="R710" s="50">
        <f>IF(AND(Q709=2,Q710=1),"",IF(Q710=2,(N710+N711)/2,IF(Table13232[[#This Row],[Dual Listing]]=1,Table13232[[#This Row],[Nat and Combo Bet]],11)))</f>
        <v>150</v>
      </c>
      <c r="S710" s="50">
        <f t="shared" si="31"/>
        <v>585</v>
      </c>
      <c r="T710" s="50">
        <f t="shared" si="32"/>
        <v>435</v>
      </c>
      <c r="U710" s="50" t="str">
        <f>IF(Table13232[[#This Row],[Date]]&lt;$U$4,"","Live")</f>
        <v>Live</v>
      </c>
      <c r="V710" s="45" t="str">
        <f>TEXT(Table13232[[#This Row],[Date]],"DDD")</f>
        <v>Sat</v>
      </c>
      <c r="W710" s="45" t="str">
        <f>PROPER(TRIM(Table13232[[#This Row],[Horse]]))</f>
        <v>Gin A Tonic</v>
      </c>
    </row>
    <row r="711" spans="1:23" x14ac:dyDescent="0.25">
      <c r="A711" s="43">
        <v>46011</v>
      </c>
      <c r="B711" s="44">
        <v>0.69791666666666663</v>
      </c>
      <c r="C711" s="44" t="s">
        <v>13</v>
      </c>
      <c r="D711" s="45">
        <v>8</v>
      </c>
      <c r="E711" s="45">
        <v>14</v>
      </c>
      <c r="F711" s="46" t="s">
        <v>560</v>
      </c>
      <c r="G711" s="46"/>
      <c r="H711" s="47"/>
      <c r="I711" s="52" t="s">
        <v>297</v>
      </c>
      <c r="J711" s="45" t="str">
        <f>VLOOKUP(Table13232[[#This Row],[Track]],$C$836:$E$882,2,FALSE)</f>
        <v>NSW</v>
      </c>
      <c r="K711" s="49">
        <v>100</v>
      </c>
      <c r="L711" s="45" t="str">
        <f>IF(Table13232[[#This Row],[Fin]]&lt;&gt;"1st","",Table13232[[#This Row],[Div]]*Table13232[[#This Row],[Lev Bet]])</f>
        <v/>
      </c>
      <c r="M711" s="45">
        <f>IF(Table13232[[#This Row],[Lev Ret]]="",Table13232[[#This Row],[Lev Bet]]*-1,L711-K711)</f>
        <v>-100</v>
      </c>
      <c r="N711" s="135">
        <v>150</v>
      </c>
      <c r="O711" s="135" t="str">
        <f>IF(Table13232[[#This Row],[Fin]]&lt;&gt;"1st","",Table13232[[#This Row],[Div]]*Table13232[[#This Row],[Nat and Combo Bet]])</f>
        <v/>
      </c>
      <c r="P711" s="135">
        <f>IF(Table13232[[#This Row],[Lev Ret]]="",Table13232[[#This Row],[Nat and Combo Bet]]*-1,O711-N711)</f>
        <v>-150</v>
      </c>
      <c r="Q711" s="50">
        <f t="shared" ref="Q711:Q774" si="33">IF(AND(A712=A711,F712=F711),2,1)</f>
        <v>1</v>
      </c>
      <c r="R711" s="50">
        <f>IF(AND(Q710=2,Q711=1),"",IF(Q711=2,(N711+N712)/2,IF(Table13232[[#This Row],[Dual Listing]]=1,Table13232[[#This Row],[Nat and Combo Bet]],11)))</f>
        <v>150</v>
      </c>
      <c r="S711" s="50" t="str">
        <f t="shared" ref="S711:S774" si="34">IF(R711="","",IF(O711="","",R711*H711))</f>
        <v/>
      </c>
      <c r="T711" s="50">
        <f t="shared" ref="T711:T774" si="35">IF(R711="","",IF(S711="",R711*-1,S711-R711))</f>
        <v>-150</v>
      </c>
      <c r="U711" s="50" t="str">
        <f>IF(Table13232[[#This Row],[Date]]&lt;$U$4,"","Live")</f>
        <v>Live</v>
      </c>
      <c r="V711" s="45" t="str">
        <f>TEXT(Table13232[[#This Row],[Date]],"DDD")</f>
        <v>Sat</v>
      </c>
      <c r="W711" s="45" t="str">
        <f>PROPER(TRIM(Table13232[[#This Row],[Horse]]))</f>
        <v>Just Party</v>
      </c>
    </row>
    <row r="712" spans="1:23" x14ac:dyDescent="0.25">
      <c r="A712" s="43">
        <v>46011</v>
      </c>
      <c r="B712" s="44">
        <v>0.72222222222222221</v>
      </c>
      <c r="C712" s="44" t="s">
        <v>13</v>
      </c>
      <c r="D712" s="45">
        <v>9</v>
      </c>
      <c r="E712" s="45">
        <v>11</v>
      </c>
      <c r="F712" s="46" t="s">
        <v>561</v>
      </c>
      <c r="G712" s="46" t="s">
        <v>23</v>
      </c>
      <c r="H712" s="47"/>
      <c r="I712" s="52" t="s">
        <v>297</v>
      </c>
      <c r="J712" s="45" t="str">
        <f>VLOOKUP(Table13232[[#This Row],[Track]],$C$836:$E$882,2,FALSE)</f>
        <v>NSW</v>
      </c>
      <c r="K712" s="49">
        <v>100</v>
      </c>
      <c r="L712" s="45" t="str">
        <f>IF(Table13232[[#This Row],[Fin]]&lt;&gt;"1st","",Table13232[[#This Row],[Div]]*Table13232[[#This Row],[Lev Bet]])</f>
        <v/>
      </c>
      <c r="M712" s="45">
        <f>IF(Table13232[[#This Row],[Lev Ret]]="",Table13232[[#This Row],[Lev Bet]]*-1,L712-K712)</f>
        <v>-100</v>
      </c>
      <c r="N712" s="135">
        <v>140</v>
      </c>
      <c r="O712" s="135" t="str">
        <f>IF(Table13232[[#This Row],[Fin]]&lt;&gt;"1st","",Table13232[[#This Row],[Div]]*Table13232[[#This Row],[Nat and Combo Bet]])</f>
        <v/>
      </c>
      <c r="P712" s="135">
        <f>IF(Table13232[[#This Row],[Lev Ret]]="",Table13232[[#This Row],[Nat and Combo Bet]]*-1,O712-N712)</f>
        <v>-140</v>
      </c>
      <c r="Q712" s="50">
        <f t="shared" si="33"/>
        <v>1</v>
      </c>
      <c r="R712" s="50">
        <f>IF(AND(Q711=2,Q712=1),"",IF(Q712=2,(N712+N713)/2,IF(Table13232[[#This Row],[Dual Listing]]=1,Table13232[[#This Row],[Nat and Combo Bet]],11)))</f>
        <v>140</v>
      </c>
      <c r="S712" s="50" t="str">
        <f t="shared" si="34"/>
        <v/>
      </c>
      <c r="T712" s="50">
        <f t="shared" si="35"/>
        <v>-140</v>
      </c>
      <c r="U712" s="50" t="str">
        <f>IF(Table13232[[#This Row],[Date]]&lt;$U$4,"","Live")</f>
        <v>Live</v>
      </c>
      <c r="V712" s="45" t="str">
        <f>TEXT(Table13232[[#This Row],[Date]],"DDD")</f>
        <v>Sat</v>
      </c>
      <c r="W712" s="45" t="str">
        <f>PROPER(TRIM(Table13232[[#This Row],[Horse]]))</f>
        <v>Alabama Fox</v>
      </c>
    </row>
    <row r="713" spans="1:23" x14ac:dyDescent="0.25">
      <c r="A713" s="43">
        <v>46011</v>
      </c>
      <c r="B713" s="44">
        <v>0.73055555555555551</v>
      </c>
      <c r="C713" s="44" t="s">
        <v>12</v>
      </c>
      <c r="D713" s="45">
        <v>8</v>
      </c>
      <c r="E713" s="45">
        <v>6</v>
      </c>
      <c r="F713" s="46" t="s">
        <v>80</v>
      </c>
      <c r="G713" s="46"/>
      <c r="H713" s="47"/>
      <c r="I713" s="47" t="s">
        <v>298</v>
      </c>
      <c r="J713" s="45" t="str">
        <f>VLOOKUP(Table13232[[#This Row],[Track]],$C$836:$E$882,2,FALSE)</f>
        <v>Qld</v>
      </c>
      <c r="K713" s="49">
        <v>100</v>
      </c>
      <c r="L713" s="45" t="str">
        <f>IF(Table13232[[#This Row],[Fin]]&lt;&gt;"1st","",Table13232[[#This Row],[Div]]*Table13232[[#This Row],[Lev Bet]])</f>
        <v/>
      </c>
      <c r="M713" s="45">
        <f>IF(Table13232[[#This Row],[Lev Ret]]="",Table13232[[#This Row],[Lev Bet]]*-1,L713-K713)</f>
        <v>-100</v>
      </c>
      <c r="N713" s="135">
        <v>100</v>
      </c>
      <c r="O713" s="135" t="str">
        <f>IF(Table13232[[#This Row],[Fin]]&lt;&gt;"1st","",Table13232[[#This Row],[Div]]*Table13232[[#This Row],[Nat and Combo Bet]])</f>
        <v/>
      </c>
      <c r="P713" s="135">
        <f>IF(Table13232[[#This Row],[Lev Ret]]="",Table13232[[#This Row],[Nat and Combo Bet]]*-1,O713-N713)</f>
        <v>-100</v>
      </c>
      <c r="Q713" s="50">
        <f t="shared" si="33"/>
        <v>1</v>
      </c>
      <c r="R713" s="50">
        <f>IF(AND(Q712=2,Q713=1),"",IF(Q713=2,(N713+N714)/2,IF(Table13232[[#This Row],[Dual Listing]]=1,Table13232[[#This Row],[Nat and Combo Bet]],11)))</f>
        <v>100</v>
      </c>
      <c r="S713" s="50" t="str">
        <f t="shared" si="34"/>
        <v/>
      </c>
      <c r="T713" s="50">
        <f t="shared" si="35"/>
        <v>-100</v>
      </c>
      <c r="U713" s="50" t="str">
        <f>IF(Table13232[[#This Row],[Date]]&lt;$U$4,"","Live")</f>
        <v>Live</v>
      </c>
      <c r="V713" s="45" t="str">
        <f>TEXT(Table13232[[#This Row],[Date]],"DDD")</f>
        <v>Sat</v>
      </c>
      <c r="W713" s="45" t="str">
        <f>PROPER(TRIM(Table13232[[#This Row],[Horse]]))</f>
        <v>Accredited</v>
      </c>
    </row>
    <row r="714" spans="1:23" x14ac:dyDescent="0.25">
      <c r="A714" s="43">
        <v>46011</v>
      </c>
      <c r="B714" s="44">
        <v>0.74652777777777779</v>
      </c>
      <c r="C714" s="44" t="s">
        <v>13</v>
      </c>
      <c r="D714" s="45">
        <v>10</v>
      </c>
      <c r="E714" s="45">
        <v>4</v>
      </c>
      <c r="F714" s="46" t="s">
        <v>562</v>
      </c>
      <c r="G714" s="46"/>
      <c r="H714" s="47"/>
      <c r="I714" s="52" t="s">
        <v>297</v>
      </c>
      <c r="J714" s="45" t="str">
        <f>VLOOKUP(Table13232[[#This Row],[Track]],$C$836:$E$882,2,FALSE)</f>
        <v>NSW</v>
      </c>
      <c r="K714" s="49">
        <v>100</v>
      </c>
      <c r="L714" s="45" t="str">
        <f>IF(Table13232[[#This Row],[Fin]]&lt;&gt;"1st","",Table13232[[#This Row],[Div]]*Table13232[[#This Row],[Lev Bet]])</f>
        <v/>
      </c>
      <c r="M714" s="45">
        <f>IF(Table13232[[#This Row],[Lev Ret]]="",Table13232[[#This Row],[Lev Bet]]*-1,L714-K714)</f>
        <v>-100</v>
      </c>
      <c r="N714" s="135">
        <v>140</v>
      </c>
      <c r="O714" s="135" t="str">
        <f>IF(Table13232[[#This Row],[Fin]]&lt;&gt;"1st","",Table13232[[#This Row],[Div]]*Table13232[[#This Row],[Nat and Combo Bet]])</f>
        <v/>
      </c>
      <c r="P714" s="135">
        <f>IF(Table13232[[#This Row],[Lev Ret]]="",Table13232[[#This Row],[Nat and Combo Bet]]*-1,O714-N714)</f>
        <v>-140</v>
      </c>
      <c r="Q714" s="50">
        <f t="shared" si="33"/>
        <v>1</v>
      </c>
      <c r="R714" s="50">
        <f>IF(AND(Q713=2,Q714=1),"",IF(Q714=2,(N714+N715)/2,IF(Table13232[[#This Row],[Dual Listing]]=1,Table13232[[#This Row],[Nat and Combo Bet]],11)))</f>
        <v>140</v>
      </c>
      <c r="S714" s="50" t="str">
        <f t="shared" si="34"/>
        <v/>
      </c>
      <c r="T714" s="50">
        <f t="shared" si="35"/>
        <v>-140</v>
      </c>
      <c r="U714" s="50" t="str">
        <f>IF(Table13232[[#This Row],[Date]]&lt;$U$4,"","Live")</f>
        <v>Live</v>
      </c>
      <c r="V714" s="45" t="str">
        <f>TEXT(Table13232[[#This Row],[Date]],"DDD")</f>
        <v>Sat</v>
      </c>
      <c r="W714" s="45" t="str">
        <f>PROPER(TRIM(Table13232[[#This Row],[Horse]]))</f>
        <v>Catoggio</v>
      </c>
    </row>
    <row r="715" spans="1:23" x14ac:dyDescent="0.25">
      <c r="A715" s="43">
        <v>46011</v>
      </c>
      <c r="B715" s="44">
        <v>0.75694444444444442</v>
      </c>
      <c r="C715" s="44" t="s">
        <v>12</v>
      </c>
      <c r="D715" s="45">
        <v>9</v>
      </c>
      <c r="E715" s="45">
        <v>2</v>
      </c>
      <c r="F715" s="46" t="s">
        <v>566</v>
      </c>
      <c r="G715" s="46"/>
      <c r="H715" s="47"/>
      <c r="I715" s="47" t="s">
        <v>298</v>
      </c>
      <c r="J715" s="45" t="str">
        <f>VLOOKUP(Table13232[[#This Row],[Track]],$C$836:$E$882,2,FALSE)</f>
        <v>Qld</v>
      </c>
      <c r="K715" s="49">
        <v>100</v>
      </c>
      <c r="L715" s="45" t="str">
        <f>IF(Table13232[[#This Row],[Fin]]&lt;&gt;"1st","",Table13232[[#This Row],[Div]]*Table13232[[#This Row],[Lev Bet]])</f>
        <v/>
      </c>
      <c r="M715" s="45">
        <f>IF(Table13232[[#This Row],[Lev Ret]]="",Table13232[[#This Row],[Lev Bet]]*-1,L715-K715)</f>
        <v>-100</v>
      </c>
      <c r="N715" s="135">
        <v>100</v>
      </c>
      <c r="O715" s="135" t="str">
        <f>IF(Table13232[[#This Row],[Fin]]&lt;&gt;"1st","",Table13232[[#This Row],[Div]]*Table13232[[#This Row],[Nat and Combo Bet]])</f>
        <v/>
      </c>
      <c r="P715" s="135">
        <f>IF(Table13232[[#This Row],[Lev Ret]]="",Table13232[[#This Row],[Nat and Combo Bet]]*-1,O715-N715)</f>
        <v>-100</v>
      </c>
      <c r="Q715" s="50">
        <f t="shared" si="33"/>
        <v>1</v>
      </c>
      <c r="R715" s="50">
        <f>IF(AND(Q714=2,Q715=1),"",IF(Q715=2,(N715+N716)/2,IF(Table13232[[#This Row],[Dual Listing]]=1,Table13232[[#This Row],[Nat and Combo Bet]],11)))</f>
        <v>100</v>
      </c>
      <c r="S715" s="50" t="str">
        <f t="shared" si="34"/>
        <v/>
      </c>
      <c r="T715" s="50">
        <f t="shared" si="35"/>
        <v>-100</v>
      </c>
      <c r="U715" s="50" t="str">
        <f>IF(Table13232[[#This Row],[Date]]&lt;$U$4,"","Live")</f>
        <v>Live</v>
      </c>
      <c r="V715" s="45" t="str">
        <f>TEXT(Table13232[[#This Row],[Date]],"DDD")</f>
        <v>Sat</v>
      </c>
      <c r="W715" s="45" t="str">
        <f>PROPER(TRIM(Table13232[[#This Row],[Horse]]))</f>
        <v>Walsh Bay</v>
      </c>
    </row>
    <row r="716" spans="1:23" x14ac:dyDescent="0.25">
      <c r="A716" s="43">
        <v>46011</v>
      </c>
      <c r="B716" s="44">
        <v>0.78402777777777777</v>
      </c>
      <c r="C716" s="44" t="s">
        <v>12</v>
      </c>
      <c r="D716" s="45">
        <v>10</v>
      </c>
      <c r="E716" s="45">
        <v>6</v>
      </c>
      <c r="F716" s="46" t="s">
        <v>534</v>
      </c>
      <c r="G716" s="46" t="s">
        <v>22</v>
      </c>
      <c r="H716" s="47"/>
      <c r="I716" s="47" t="s">
        <v>298</v>
      </c>
      <c r="J716" s="45" t="str">
        <f>VLOOKUP(Table13232[[#This Row],[Track]],$C$836:$E$882,2,FALSE)</f>
        <v>Qld</v>
      </c>
      <c r="K716" s="49">
        <v>100</v>
      </c>
      <c r="L716" s="45" t="str">
        <f>IF(Table13232[[#This Row],[Fin]]&lt;&gt;"1st","",Table13232[[#This Row],[Div]]*Table13232[[#This Row],[Lev Bet]])</f>
        <v/>
      </c>
      <c r="M716" s="45">
        <f>IF(Table13232[[#This Row],[Lev Ret]]="",Table13232[[#This Row],[Lev Bet]]*-1,L716-K716)</f>
        <v>-100</v>
      </c>
      <c r="N716" s="135">
        <v>100</v>
      </c>
      <c r="O716" s="135" t="str">
        <f>IF(Table13232[[#This Row],[Fin]]&lt;&gt;"1st","",Table13232[[#This Row],[Div]]*Table13232[[#This Row],[Nat and Combo Bet]])</f>
        <v/>
      </c>
      <c r="P716" s="135">
        <f>IF(Table13232[[#This Row],[Lev Ret]]="",Table13232[[#This Row],[Nat and Combo Bet]]*-1,O716-N716)</f>
        <v>-100</v>
      </c>
      <c r="Q716" s="50">
        <f t="shared" si="33"/>
        <v>1</v>
      </c>
      <c r="R716" s="50">
        <f>IF(AND(Q715=2,Q716=1),"",IF(Q716=2,(N716+N717)/2,IF(Table13232[[#This Row],[Dual Listing]]=1,Table13232[[#This Row],[Nat and Combo Bet]],11)))</f>
        <v>100</v>
      </c>
      <c r="S716" s="50" t="str">
        <f t="shared" si="34"/>
        <v/>
      </c>
      <c r="T716" s="50">
        <f t="shared" si="35"/>
        <v>-100</v>
      </c>
      <c r="U716" s="50" t="str">
        <f>IF(Table13232[[#This Row],[Date]]&lt;$U$4,"","Live")</f>
        <v>Live</v>
      </c>
      <c r="V716" s="45" t="str">
        <f>TEXT(Table13232[[#This Row],[Date]],"DDD")</f>
        <v>Sat</v>
      </c>
      <c r="W716" s="45" t="str">
        <f>PROPER(TRIM(Table13232[[#This Row],[Horse]]))</f>
        <v>Bossed Up</v>
      </c>
    </row>
    <row r="717" spans="1:23" x14ac:dyDescent="0.25">
      <c r="A717" s="109">
        <v>46018</v>
      </c>
      <c r="B717" s="53">
        <v>0.52430555555555558</v>
      </c>
      <c r="C717" s="110" t="s">
        <v>13</v>
      </c>
      <c r="D717" s="111">
        <v>1</v>
      </c>
      <c r="E717" s="111">
        <v>3</v>
      </c>
      <c r="F717" s="112" t="s">
        <v>567</v>
      </c>
      <c r="G717" s="112" t="s">
        <v>21</v>
      </c>
      <c r="H717" s="113">
        <v>2.2999999999999998</v>
      </c>
      <c r="I717" s="140" t="s">
        <v>297</v>
      </c>
      <c r="J717" s="45" t="str">
        <f>VLOOKUP(Table13232[[#This Row],[Track]],$C$836:$E$882,2,FALSE)</f>
        <v>NSW</v>
      </c>
      <c r="K717" s="49">
        <v>100</v>
      </c>
      <c r="L717" s="45">
        <f>IF(Table13232[[#This Row],[Fin]]&lt;&gt;"1st","",Table13232[[#This Row],[Div]]*Table13232[[#This Row],[Lev Bet]])</f>
        <v>229.99999999999997</v>
      </c>
      <c r="M717" s="45">
        <f>IF(Table13232[[#This Row],[Lev Ret]]="",Table13232[[#This Row],[Lev Bet]]*-1,L717-K717)</f>
        <v>129.99999999999997</v>
      </c>
      <c r="N717" s="135">
        <v>150</v>
      </c>
      <c r="O717" s="135">
        <f>IF(Table13232[[#This Row],[Fin]]&lt;&gt;"1st","",Table13232[[#This Row],[Div]]*Table13232[[#This Row],[Nat and Combo Bet]])</f>
        <v>345</v>
      </c>
      <c r="P717" s="135">
        <f>IF(Table13232[[#This Row],[Lev Ret]]="",Table13232[[#This Row],[Nat and Combo Bet]]*-1,O717-N717)</f>
        <v>195</v>
      </c>
      <c r="Q717" s="50">
        <f t="shared" si="33"/>
        <v>2</v>
      </c>
      <c r="R717" s="50">
        <f>IF(AND(Q716=2,Q717=1),"",IF(Q717=2,(N717+N718)/2,IF(Table13232[[#This Row],[Dual Listing]]=1,Table13232[[#This Row],[Nat and Combo Bet]],11)))</f>
        <v>150</v>
      </c>
      <c r="S717" s="50">
        <f t="shared" si="34"/>
        <v>345</v>
      </c>
      <c r="T717" s="50">
        <f t="shared" si="35"/>
        <v>195</v>
      </c>
      <c r="U717" s="50" t="str">
        <f>IF(Table13232[[#This Row],[Date]]&lt;$U$4,"","Live")</f>
        <v>Live</v>
      </c>
      <c r="V717" s="45" t="str">
        <f>TEXT(Table13232[[#This Row],[Date]],"DDD")</f>
        <v>Sat</v>
      </c>
      <c r="W717" s="45" t="str">
        <f>PROPER(TRIM(Table13232[[#This Row],[Horse]]))</f>
        <v>Oui Oui Oui</v>
      </c>
    </row>
    <row r="718" spans="1:23" x14ac:dyDescent="0.25">
      <c r="A718" s="109">
        <v>46018</v>
      </c>
      <c r="B718" s="53">
        <v>0.52430555555555558</v>
      </c>
      <c r="C718" s="110" t="s">
        <v>13</v>
      </c>
      <c r="D718" s="111">
        <v>1</v>
      </c>
      <c r="E718" s="111">
        <v>3</v>
      </c>
      <c r="F718" s="112" t="s">
        <v>567</v>
      </c>
      <c r="G718" s="112" t="s">
        <v>21</v>
      </c>
      <c r="H718" s="113">
        <v>2.2999999999999998</v>
      </c>
      <c r="I718" s="47" t="s">
        <v>298</v>
      </c>
      <c r="J718" s="45" t="str">
        <f>VLOOKUP(Table13232[[#This Row],[Track]],$C$836:$E$882,2,FALSE)</f>
        <v>NSW</v>
      </c>
      <c r="K718" s="49">
        <v>100</v>
      </c>
      <c r="L718" s="45">
        <f>IF(Table13232[[#This Row],[Fin]]&lt;&gt;"1st","",Table13232[[#This Row],[Div]]*Table13232[[#This Row],[Lev Bet]])</f>
        <v>229.99999999999997</v>
      </c>
      <c r="M718" s="45">
        <f>IF(Table13232[[#This Row],[Lev Ret]]="",Table13232[[#This Row],[Lev Bet]]*-1,L718-K718)</f>
        <v>129.99999999999997</v>
      </c>
      <c r="N718" s="135">
        <v>150</v>
      </c>
      <c r="O718" s="135">
        <f>IF(Table13232[[#This Row],[Fin]]&lt;&gt;"1st","",Table13232[[#This Row],[Div]]*Table13232[[#This Row],[Nat and Combo Bet]])</f>
        <v>345</v>
      </c>
      <c r="P718" s="135">
        <f>IF(Table13232[[#This Row],[Lev Ret]]="",Table13232[[#This Row],[Nat and Combo Bet]]*-1,O718-N718)</f>
        <v>195</v>
      </c>
      <c r="Q718" s="50">
        <f t="shared" si="33"/>
        <v>1</v>
      </c>
      <c r="R718" s="50" t="str">
        <f>IF(AND(Q717=2,Q718=1),"",IF(Q718=2,(N718+N719)/2,IF(Table13232[[#This Row],[Dual Listing]]=1,Table13232[[#This Row],[Nat and Combo Bet]],11)))</f>
        <v/>
      </c>
      <c r="S718" s="50" t="str">
        <f t="shared" si="34"/>
        <v/>
      </c>
      <c r="T718" s="50" t="str">
        <f t="shared" si="35"/>
        <v/>
      </c>
      <c r="U718" s="50" t="str">
        <f>IF(Table13232[[#This Row],[Date]]&lt;$U$4,"","Live")</f>
        <v>Live</v>
      </c>
      <c r="V718" s="45" t="str">
        <f>TEXT(Table13232[[#This Row],[Date]],"DDD")</f>
        <v>Sat</v>
      </c>
      <c r="W718" s="45" t="str">
        <f>PROPER(TRIM(Table13232[[#This Row],[Horse]]))</f>
        <v>Oui Oui Oui</v>
      </c>
    </row>
    <row r="719" spans="1:23" x14ac:dyDescent="0.25">
      <c r="A719" s="136">
        <v>46018</v>
      </c>
      <c r="B719" s="137">
        <v>0.60277777777777775</v>
      </c>
      <c r="C719" s="137" t="s">
        <v>12</v>
      </c>
      <c r="D719" s="138">
        <v>3</v>
      </c>
      <c r="E719" s="138">
        <v>8</v>
      </c>
      <c r="F719" s="139" t="s">
        <v>568</v>
      </c>
      <c r="G719" s="139" t="s">
        <v>23</v>
      </c>
      <c r="H719" s="140"/>
      <c r="I719" s="47" t="s">
        <v>298</v>
      </c>
      <c r="J719" s="45" t="str">
        <f>VLOOKUP(Table13232[[#This Row],[Track]],$C$836:$E$882,2,FALSE)</f>
        <v>Qld</v>
      </c>
      <c r="K719" s="49">
        <v>100</v>
      </c>
      <c r="L719" s="45" t="str">
        <f>IF(Table13232[[#This Row],[Fin]]&lt;&gt;"1st","",Table13232[[#This Row],[Div]]*Table13232[[#This Row],[Lev Bet]])</f>
        <v/>
      </c>
      <c r="M719" s="45">
        <f>IF(Table13232[[#This Row],[Lev Ret]]="",Table13232[[#This Row],[Lev Bet]]*-1,L719-K719)</f>
        <v>-100</v>
      </c>
      <c r="N719" s="135">
        <v>100</v>
      </c>
      <c r="O719" s="135" t="str">
        <f>IF(Table13232[[#This Row],[Fin]]&lt;&gt;"1st","",Table13232[[#This Row],[Div]]*Table13232[[#This Row],[Nat and Combo Bet]])</f>
        <v/>
      </c>
      <c r="P719" s="135">
        <f>IF(Table13232[[#This Row],[Lev Ret]]="",Table13232[[#This Row],[Nat and Combo Bet]]*-1,O719-N719)</f>
        <v>-100</v>
      </c>
      <c r="Q719" s="50">
        <f t="shared" si="33"/>
        <v>1</v>
      </c>
      <c r="R719" s="50">
        <f>IF(AND(Q718=2,Q719=1),"",IF(Q719=2,(N719+N720)/2,IF(Table13232[[#This Row],[Dual Listing]]=1,Table13232[[#This Row],[Nat and Combo Bet]],11)))</f>
        <v>100</v>
      </c>
      <c r="S719" s="50" t="str">
        <f t="shared" si="34"/>
        <v/>
      </c>
      <c r="T719" s="50">
        <f t="shared" si="35"/>
        <v>-100</v>
      </c>
      <c r="U719" s="50" t="str">
        <f>IF(Table13232[[#This Row],[Date]]&lt;$U$4,"","Live")</f>
        <v>Live</v>
      </c>
      <c r="V719" s="45" t="str">
        <f>TEXT(Table13232[[#This Row],[Date]],"DDD")</f>
        <v>Sat</v>
      </c>
      <c r="W719" s="45" t="str">
        <f>PROPER(TRIM(Table13232[[#This Row],[Horse]]))</f>
        <v>Eclair Awesome</v>
      </c>
    </row>
    <row r="720" spans="1:23" x14ac:dyDescent="0.25">
      <c r="A720" s="136">
        <v>46018</v>
      </c>
      <c r="B720" s="137">
        <v>0.60763888888888884</v>
      </c>
      <c r="C720" s="137" t="s">
        <v>53</v>
      </c>
      <c r="D720" s="138">
        <v>5</v>
      </c>
      <c r="E720" s="138">
        <v>2</v>
      </c>
      <c r="F720" s="139" t="s">
        <v>569</v>
      </c>
      <c r="G720" s="139" t="s">
        <v>22</v>
      </c>
      <c r="H720" s="140"/>
      <c r="I720" s="47" t="s">
        <v>298</v>
      </c>
      <c r="J720" s="45" t="str">
        <f>VLOOKUP(Table13232[[#This Row],[Track]],$C$836:$E$882,2,FALSE)</f>
        <v>Vic</v>
      </c>
      <c r="K720" s="49">
        <v>100</v>
      </c>
      <c r="L720" s="45" t="str">
        <f>IF(Table13232[[#This Row],[Fin]]&lt;&gt;"1st","",Table13232[[#This Row],[Div]]*Table13232[[#This Row],[Lev Bet]])</f>
        <v/>
      </c>
      <c r="M720" s="45">
        <f>IF(Table13232[[#This Row],[Lev Ret]]="",Table13232[[#This Row],[Lev Bet]]*-1,L720-K720)</f>
        <v>-100</v>
      </c>
      <c r="N720" s="135">
        <v>200</v>
      </c>
      <c r="O720" s="135" t="str">
        <f>IF(Table13232[[#This Row],[Fin]]&lt;&gt;"1st","",Table13232[[#This Row],[Div]]*Table13232[[#This Row],[Nat and Combo Bet]])</f>
        <v/>
      </c>
      <c r="P720" s="135">
        <f>IF(Table13232[[#This Row],[Lev Ret]]="",Table13232[[#This Row],[Nat and Combo Bet]]*-1,O720-N720)</f>
        <v>-200</v>
      </c>
      <c r="Q720" s="50">
        <f t="shared" si="33"/>
        <v>1</v>
      </c>
      <c r="R720" s="50">
        <f>IF(AND(Q719=2,Q720=1),"",IF(Q720=2,(N720+N721)/2,IF(Table13232[[#This Row],[Dual Listing]]=1,Table13232[[#This Row],[Nat and Combo Bet]],11)))</f>
        <v>200</v>
      </c>
      <c r="S720" s="50" t="str">
        <f t="shared" si="34"/>
        <v/>
      </c>
      <c r="T720" s="50">
        <f t="shared" si="35"/>
        <v>-200</v>
      </c>
      <c r="U720" s="50" t="str">
        <f>IF(Table13232[[#This Row],[Date]]&lt;$U$4,"","Live")</f>
        <v>Live</v>
      </c>
      <c r="V720" s="45" t="str">
        <f>TEXT(Table13232[[#This Row],[Date]],"DDD")</f>
        <v>Sat</v>
      </c>
      <c r="W720" s="45" t="str">
        <f>PROPER(TRIM(Table13232[[#This Row],[Horse]]))</f>
        <v>Harrys Yacht</v>
      </c>
    </row>
    <row r="721" spans="1:23" x14ac:dyDescent="0.25">
      <c r="A721" s="43">
        <v>46018</v>
      </c>
      <c r="B721" s="44">
        <v>0.60763888888888884</v>
      </c>
      <c r="C721" s="44" t="s">
        <v>282</v>
      </c>
      <c r="D721" s="45">
        <v>5</v>
      </c>
      <c r="E721" s="45">
        <v>2</v>
      </c>
      <c r="F721" s="46" t="s">
        <v>535</v>
      </c>
      <c r="G721" s="46" t="s">
        <v>22</v>
      </c>
      <c r="H721" s="47"/>
      <c r="I721" s="140" t="s">
        <v>297</v>
      </c>
      <c r="J721" s="45" t="str">
        <f>VLOOKUP(Table13232[[#This Row],[Track]],$C$836:$E$882,2,FALSE)</f>
        <v>Vic</v>
      </c>
      <c r="K721" s="49">
        <v>100</v>
      </c>
      <c r="L721" s="45" t="str">
        <f>IF(Table13232[[#This Row],[Fin]]&lt;&gt;"1st","",Table13232[[#This Row],[Div]]*Table13232[[#This Row],[Lev Bet]])</f>
        <v/>
      </c>
      <c r="M721" s="45">
        <f>IF(Table13232[[#This Row],[Lev Ret]]="",Table13232[[#This Row],[Lev Bet]]*-1,L721-K721)</f>
        <v>-100</v>
      </c>
      <c r="N721" s="135">
        <v>200</v>
      </c>
      <c r="O721" s="135" t="str">
        <f>IF(Table13232[[#This Row],[Fin]]&lt;&gt;"1st","",Table13232[[#This Row],[Div]]*Table13232[[#This Row],[Nat and Combo Bet]])</f>
        <v/>
      </c>
      <c r="P721" s="135">
        <f>IF(Table13232[[#This Row],[Lev Ret]]="",Table13232[[#This Row],[Nat and Combo Bet]]*-1,O721-N721)</f>
        <v>-200</v>
      </c>
      <c r="Q721" s="50">
        <f t="shared" si="33"/>
        <v>1</v>
      </c>
      <c r="R721" s="50">
        <f>IF(AND(Q720=2,Q721=1),"",IF(Q721=2,(N721+N722)/2,IF(Table13232[[#This Row],[Dual Listing]]=1,Table13232[[#This Row],[Nat and Combo Bet]],11)))</f>
        <v>200</v>
      </c>
      <c r="S721" s="50" t="str">
        <f t="shared" si="34"/>
        <v/>
      </c>
      <c r="T721" s="50">
        <f t="shared" si="35"/>
        <v>-200</v>
      </c>
      <c r="U721" s="50" t="str">
        <f>IF(Table13232[[#This Row],[Date]]&lt;$U$4,"","Live")</f>
        <v>Live</v>
      </c>
      <c r="V721" s="45" t="str">
        <f>TEXT(Table13232[[#This Row],[Date]],"DDD")</f>
        <v>Sat</v>
      </c>
      <c r="W721" s="45" t="str">
        <f>PROPER(TRIM(Table13232[[#This Row],[Horse]]))</f>
        <v>Harry'S Yacht</v>
      </c>
    </row>
    <row r="722" spans="1:23" x14ac:dyDescent="0.25">
      <c r="A722" s="136">
        <v>46018</v>
      </c>
      <c r="B722" s="137">
        <v>0.62152777777777779</v>
      </c>
      <c r="C722" s="137" t="s">
        <v>13</v>
      </c>
      <c r="D722" s="138">
        <v>5</v>
      </c>
      <c r="E722" s="138">
        <v>2</v>
      </c>
      <c r="F722" s="139" t="s">
        <v>570</v>
      </c>
      <c r="G722" s="139"/>
      <c r="H722" s="140"/>
      <c r="I722" s="47" t="s">
        <v>298</v>
      </c>
      <c r="J722" s="45" t="str">
        <f>VLOOKUP(Table13232[[#This Row],[Track]],$C$836:$E$882,2,FALSE)</f>
        <v>NSW</v>
      </c>
      <c r="K722" s="49">
        <v>100</v>
      </c>
      <c r="L722" s="45" t="str">
        <f>IF(Table13232[[#This Row],[Fin]]&lt;&gt;"1st","",Table13232[[#This Row],[Div]]*Table13232[[#This Row],[Lev Bet]])</f>
        <v/>
      </c>
      <c r="M722" s="45">
        <f>IF(Table13232[[#This Row],[Lev Ret]]="",Table13232[[#This Row],[Lev Bet]]*-1,L722-K722)</f>
        <v>-100</v>
      </c>
      <c r="N722" s="135">
        <v>150</v>
      </c>
      <c r="O722" s="135" t="str">
        <f>IF(Table13232[[#This Row],[Fin]]&lt;&gt;"1st","",Table13232[[#This Row],[Div]]*Table13232[[#This Row],[Nat and Combo Bet]])</f>
        <v/>
      </c>
      <c r="P722" s="135">
        <f>IF(Table13232[[#This Row],[Lev Ret]]="",Table13232[[#This Row],[Nat and Combo Bet]]*-1,O722-N722)</f>
        <v>-150</v>
      </c>
      <c r="Q722" s="50">
        <f t="shared" si="33"/>
        <v>1</v>
      </c>
      <c r="R722" s="50">
        <f>IF(AND(Q721=2,Q722=1),"",IF(Q722=2,(N722+N723)/2,IF(Table13232[[#This Row],[Dual Listing]]=1,Table13232[[#This Row],[Nat and Combo Bet]],11)))</f>
        <v>150</v>
      </c>
      <c r="S722" s="50" t="str">
        <f t="shared" si="34"/>
        <v/>
      </c>
      <c r="T722" s="50">
        <f t="shared" si="35"/>
        <v>-150</v>
      </c>
      <c r="U722" s="50" t="str">
        <f>IF(Table13232[[#This Row],[Date]]&lt;$U$4,"","Live")</f>
        <v>Live</v>
      </c>
      <c r="V722" s="45" t="str">
        <f>TEXT(Table13232[[#This Row],[Date]],"DDD")</f>
        <v>Sat</v>
      </c>
      <c r="W722" s="45" t="str">
        <f>PROPER(TRIM(Table13232[[#This Row],[Horse]]))</f>
        <v>Columbia Blue</v>
      </c>
    </row>
    <row r="723" spans="1:23" x14ac:dyDescent="0.25">
      <c r="A723" s="136">
        <v>46018</v>
      </c>
      <c r="B723" s="137">
        <v>0.62708333333333333</v>
      </c>
      <c r="C723" s="137" t="s">
        <v>12</v>
      </c>
      <c r="D723" s="138">
        <v>4</v>
      </c>
      <c r="E723" s="138">
        <v>4</v>
      </c>
      <c r="F723" s="139" t="s">
        <v>268</v>
      </c>
      <c r="G723" s="139"/>
      <c r="H723" s="140"/>
      <c r="I723" s="47" t="s">
        <v>298</v>
      </c>
      <c r="J723" s="45" t="str">
        <f>VLOOKUP(Table13232[[#This Row],[Track]],$C$836:$E$882,2,FALSE)</f>
        <v>Qld</v>
      </c>
      <c r="K723" s="49">
        <v>100</v>
      </c>
      <c r="L723" s="45" t="str">
        <f>IF(Table13232[[#This Row],[Fin]]&lt;&gt;"1st","",Table13232[[#This Row],[Div]]*Table13232[[#This Row],[Lev Bet]])</f>
        <v/>
      </c>
      <c r="M723" s="45">
        <f>IF(Table13232[[#This Row],[Lev Ret]]="",Table13232[[#This Row],[Lev Bet]]*-1,L723-K723)</f>
        <v>-100</v>
      </c>
      <c r="N723" s="135">
        <v>100</v>
      </c>
      <c r="O723" s="135" t="str">
        <f>IF(Table13232[[#This Row],[Fin]]&lt;&gt;"1st","",Table13232[[#This Row],[Div]]*Table13232[[#This Row],[Nat and Combo Bet]])</f>
        <v/>
      </c>
      <c r="P723" s="135">
        <f>IF(Table13232[[#This Row],[Lev Ret]]="",Table13232[[#This Row],[Nat and Combo Bet]]*-1,O723-N723)</f>
        <v>-100</v>
      </c>
      <c r="Q723" s="50">
        <f t="shared" si="33"/>
        <v>1</v>
      </c>
      <c r="R723" s="50">
        <f>IF(AND(Q722=2,Q723=1),"",IF(Q723=2,(N723+N724)/2,IF(Table13232[[#This Row],[Dual Listing]]=1,Table13232[[#This Row],[Nat and Combo Bet]],11)))</f>
        <v>100</v>
      </c>
      <c r="S723" s="50" t="str">
        <f t="shared" si="34"/>
        <v/>
      </c>
      <c r="T723" s="50">
        <f t="shared" si="35"/>
        <v>-100</v>
      </c>
      <c r="U723" s="50" t="str">
        <f>IF(Table13232[[#This Row],[Date]]&lt;$U$4,"","Live")</f>
        <v>Live</v>
      </c>
      <c r="V723" s="45" t="str">
        <f>TEXT(Table13232[[#This Row],[Date]],"DDD")</f>
        <v>Sat</v>
      </c>
      <c r="W723" s="45" t="str">
        <f>PROPER(TRIM(Table13232[[#This Row],[Horse]]))</f>
        <v>Express Payment</v>
      </c>
    </row>
    <row r="724" spans="1:23" x14ac:dyDescent="0.25">
      <c r="A724" s="136">
        <v>46018</v>
      </c>
      <c r="B724" s="137">
        <v>0.65138888888888891</v>
      </c>
      <c r="C724" s="137" t="s">
        <v>12</v>
      </c>
      <c r="D724" s="138">
        <v>5</v>
      </c>
      <c r="E724" s="138">
        <v>4</v>
      </c>
      <c r="F724" s="139" t="s">
        <v>571</v>
      </c>
      <c r="G724" s="139" t="s">
        <v>21</v>
      </c>
      <c r="H724" s="140">
        <v>3.3</v>
      </c>
      <c r="I724" s="47" t="s">
        <v>298</v>
      </c>
      <c r="J724" s="45" t="str">
        <f>VLOOKUP(Table13232[[#This Row],[Track]],$C$836:$E$882,2,FALSE)</f>
        <v>Qld</v>
      </c>
      <c r="K724" s="49">
        <v>100</v>
      </c>
      <c r="L724" s="45">
        <f>IF(Table13232[[#This Row],[Fin]]&lt;&gt;"1st","",Table13232[[#This Row],[Div]]*Table13232[[#This Row],[Lev Bet]])</f>
        <v>330</v>
      </c>
      <c r="M724" s="45">
        <f>IF(Table13232[[#This Row],[Lev Ret]]="",Table13232[[#This Row],[Lev Bet]]*-1,L724-K724)</f>
        <v>230</v>
      </c>
      <c r="N724" s="135">
        <v>100</v>
      </c>
      <c r="O724" s="135">
        <f>IF(Table13232[[#This Row],[Fin]]&lt;&gt;"1st","",Table13232[[#This Row],[Div]]*Table13232[[#This Row],[Nat and Combo Bet]])</f>
        <v>330</v>
      </c>
      <c r="P724" s="135">
        <f>IF(Table13232[[#This Row],[Lev Ret]]="",Table13232[[#This Row],[Nat and Combo Bet]]*-1,O724-N724)</f>
        <v>230</v>
      </c>
      <c r="Q724" s="50">
        <f t="shared" si="33"/>
        <v>1</v>
      </c>
      <c r="R724" s="50">
        <f>IF(AND(Q723=2,Q724=1),"",IF(Q724=2,(N724+N725)/2,IF(Table13232[[#This Row],[Dual Listing]]=1,Table13232[[#This Row],[Nat and Combo Bet]],11)))</f>
        <v>100</v>
      </c>
      <c r="S724" s="50">
        <f t="shared" si="34"/>
        <v>330</v>
      </c>
      <c r="T724" s="50">
        <f t="shared" si="35"/>
        <v>230</v>
      </c>
      <c r="U724" s="50" t="str">
        <f>IF(Table13232[[#This Row],[Date]]&lt;$U$4,"","Live")</f>
        <v>Live</v>
      </c>
      <c r="V724" s="45" t="str">
        <f>TEXT(Table13232[[#This Row],[Date]],"DDD")</f>
        <v>Sat</v>
      </c>
      <c r="W724" s="45" t="str">
        <f>PROPER(TRIM(Table13232[[#This Row],[Horse]]))</f>
        <v>Pre Eminence</v>
      </c>
    </row>
    <row r="725" spans="1:23" x14ac:dyDescent="0.25">
      <c r="A725" s="43">
        <v>46018</v>
      </c>
      <c r="B725" s="44">
        <v>0.68402777777777779</v>
      </c>
      <c r="C725" s="44" t="s">
        <v>282</v>
      </c>
      <c r="D725" s="45">
        <v>8</v>
      </c>
      <c r="E725" s="45">
        <v>12</v>
      </c>
      <c r="F725" s="46" t="s">
        <v>581</v>
      </c>
      <c r="G725" s="46" t="s">
        <v>21</v>
      </c>
      <c r="H725" s="47">
        <v>4.4000000000000004</v>
      </c>
      <c r="I725" s="140" t="s">
        <v>297</v>
      </c>
      <c r="J725" s="45" t="str">
        <f>VLOOKUP(Table13232[[#This Row],[Track]],$C$836:$E$882,2,FALSE)</f>
        <v>Vic</v>
      </c>
      <c r="K725" s="49">
        <v>100</v>
      </c>
      <c r="L725" s="45">
        <f>IF(Table13232[[#This Row],[Fin]]&lt;&gt;"1st","",Table13232[[#This Row],[Div]]*Table13232[[#This Row],[Lev Bet]])</f>
        <v>440.00000000000006</v>
      </c>
      <c r="M725" s="45">
        <f>IF(Table13232[[#This Row],[Lev Ret]]="",Table13232[[#This Row],[Lev Bet]]*-1,L725-K725)</f>
        <v>340.00000000000006</v>
      </c>
      <c r="N725" s="135">
        <v>150</v>
      </c>
      <c r="O725" s="135">
        <f>IF(Table13232[[#This Row],[Fin]]&lt;&gt;"1st","",Table13232[[#This Row],[Div]]*Table13232[[#This Row],[Nat and Combo Bet]])</f>
        <v>660</v>
      </c>
      <c r="P725" s="135">
        <f>IF(Table13232[[#This Row],[Lev Ret]]="",Table13232[[#This Row],[Nat and Combo Bet]]*-1,O725-N725)</f>
        <v>510</v>
      </c>
      <c r="Q725" s="50">
        <f t="shared" si="33"/>
        <v>1</v>
      </c>
      <c r="R725" s="50">
        <f>IF(AND(Q724=2,Q725=1),"",IF(Q725=2,(N725+N726)/2,IF(Table13232[[#This Row],[Dual Listing]]=1,Table13232[[#This Row],[Nat and Combo Bet]],11)))</f>
        <v>150</v>
      </c>
      <c r="S725" s="50">
        <f t="shared" si="34"/>
        <v>660</v>
      </c>
      <c r="T725" s="50">
        <f t="shared" si="35"/>
        <v>510</v>
      </c>
      <c r="U725" s="50" t="str">
        <f>IF(Table13232[[#This Row],[Date]]&lt;$U$4,"","Live")</f>
        <v>Live</v>
      </c>
      <c r="V725" s="45" t="str">
        <f>TEXT(Table13232[[#This Row],[Date]],"DDD")</f>
        <v>Sat</v>
      </c>
      <c r="W725" s="45" t="str">
        <f>PROPER(TRIM(Table13232[[#This Row],[Horse]]))</f>
        <v>Sun Gift</v>
      </c>
    </row>
    <row r="726" spans="1:23" x14ac:dyDescent="0.25">
      <c r="A726" s="136">
        <v>46018</v>
      </c>
      <c r="B726" s="137">
        <v>0.70625000000000004</v>
      </c>
      <c r="C726" s="137" t="s">
        <v>12</v>
      </c>
      <c r="D726" s="138">
        <v>7</v>
      </c>
      <c r="E726" s="138">
        <v>1</v>
      </c>
      <c r="F726" s="139" t="s">
        <v>572</v>
      </c>
      <c r="G726" s="139" t="s">
        <v>21</v>
      </c>
      <c r="H726" s="140">
        <v>2.5</v>
      </c>
      <c r="I726" s="47" t="s">
        <v>298</v>
      </c>
      <c r="J726" s="45" t="str">
        <f>VLOOKUP(Table13232[[#This Row],[Track]],$C$836:$E$882,2,FALSE)</f>
        <v>Qld</v>
      </c>
      <c r="K726" s="49">
        <v>100</v>
      </c>
      <c r="L726" s="45">
        <f>IF(Table13232[[#This Row],[Fin]]&lt;&gt;"1st","",Table13232[[#This Row],[Div]]*Table13232[[#This Row],[Lev Bet]])</f>
        <v>250</v>
      </c>
      <c r="M726" s="45">
        <f>IF(Table13232[[#This Row],[Lev Ret]]="",Table13232[[#This Row],[Lev Bet]]*-1,L726-K726)</f>
        <v>150</v>
      </c>
      <c r="N726" s="135">
        <v>100</v>
      </c>
      <c r="O726" s="135">
        <f>IF(Table13232[[#This Row],[Fin]]&lt;&gt;"1st","",Table13232[[#This Row],[Div]]*Table13232[[#This Row],[Nat and Combo Bet]])</f>
        <v>250</v>
      </c>
      <c r="P726" s="135">
        <f>IF(Table13232[[#This Row],[Lev Ret]]="",Table13232[[#This Row],[Nat and Combo Bet]]*-1,O726-N726)</f>
        <v>150</v>
      </c>
      <c r="Q726" s="50">
        <f t="shared" si="33"/>
        <v>1</v>
      </c>
      <c r="R726" s="50">
        <f>IF(AND(Q725=2,Q726=1),"",IF(Q726=2,(N726+N727)/2,IF(Table13232[[#This Row],[Dual Listing]]=1,Table13232[[#This Row],[Nat and Combo Bet]],11)))</f>
        <v>100</v>
      </c>
      <c r="S726" s="50">
        <f t="shared" si="34"/>
        <v>250</v>
      </c>
      <c r="T726" s="50">
        <f t="shared" si="35"/>
        <v>150</v>
      </c>
      <c r="U726" s="50" t="str">
        <f>IF(Table13232[[#This Row],[Date]]&lt;$U$4,"","Live")</f>
        <v>Live</v>
      </c>
      <c r="V726" s="45" t="str">
        <f>TEXT(Table13232[[#This Row],[Date]],"DDD")</f>
        <v>Sat</v>
      </c>
      <c r="W726" s="45" t="str">
        <f>PROPER(TRIM(Table13232[[#This Row],[Horse]]))</f>
        <v>Amor Victorious</v>
      </c>
    </row>
    <row r="727" spans="1:23" x14ac:dyDescent="0.25">
      <c r="A727" s="109">
        <v>46018</v>
      </c>
      <c r="B727" s="53">
        <v>0.71180555555555558</v>
      </c>
      <c r="C727" s="110" t="s">
        <v>282</v>
      </c>
      <c r="D727" s="111">
        <v>9</v>
      </c>
      <c r="E727" s="111">
        <v>5</v>
      </c>
      <c r="F727" s="112" t="s">
        <v>573</v>
      </c>
      <c r="G727" s="112"/>
      <c r="H727" s="113"/>
      <c r="I727" s="140" t="s">
        <v>297</v>
      </c>
      <c r="J727" s="45" t="str">
        <f>VLOOKUP(Table13232[[#This Row],[Track]],$C$836:$E$882,2,FALSE)</f>
        <v>Vic</v>
      </c>
      <c r="K727" s="49">
        <v>100</v>
      </c>
      <c r="L727" s="45" t="str">
        <f>IF(Table13232[[#This Row],[Fin]]&lt;&gt;"1st","",Table13232[[#This Row],[Div]]*Table13232[[#This Row],[Lev Bet]])</f>
        <v/>
      </c>
      <c r="M727" s="45">
        <f>IF(Table13232[[#This Row],[Lev Ret]]="",Table13232[[#This Row],[Lev Bet]]*-1,L727-K727)</f>
        <v>-100</v>
      </c>
      <c r="N727" s="135">
        <v>160</v>
      </c>
      <c r="O727" s="135" t="str">
        <f>IF(Table13232[[#This Row],[Fin]]&lt;&gt;"1st","",Table13232[[#This Row],[Div]]*Table13232[[#This Row],[Nat and Combo Bet]])</f>
        <v/>
      </c>
      <c r="P727" s="135">
        <f>IF(Table13232[[#This Row],[Lev Ret]]="",Table13232[[#This Row],[Nat and Combo Bet]]*-1,O727-N727)</f>
        <v>-160</v>
      </c>
      <c r="Q727" s="50">
        <f t="shared" si="33"/>
        <v>2</v>
      </c>
      <c r="R727" s="50">
        <f>IF(AND(Q726=2,Q727=1),"",IF(Q727=2,(N727+N728)/2,IF(Table13232[[#This Row],[Dual Listing]]=1,Table13232[[#This Row],[Nat and Combo Bet]],11)))</f>
        <v>180</v>
      </c>
      <c r="S727" s="50" t="str">
        <f t="shared" si="34"/>
        <v/>
      </c>
      <c r="T727" s="50">
        <f t="shared" si="35"/>
        <v>-180</v>
      </c>
      <c r="U727" s="50" t="str">
        <f>IF(Table13232[[#This Row],[Date]]&lt;$U$4,"","Live")</f>
        <v>Live</v>
      </c>
      <c r="V727" s="45" t="str">
        <f>TEXT(Table13232[[#This Row],[Date]],"DDD")</f>
        <v>Sat</v>
      </c>
      <c r="W727" s="45" t="str">
        <f>PROPER(TRIM(Table13232[[#This Row],[Horse]]))</f>
        <v>Recon</v>
      </c>
    </row>
    <row r="728" spans="1:23" x14ac:dyDescent="0.25">
      <c r="A728" s="109">
        <v>46018</v>
      </c>
      <c r="B728" s="53">
        <v>0.71180555555555558</v>
      </c>
      <c r="C728" s="110" t="s">
        <v>53</v>
      </c>
      <c r="D728" s="111">
        <v>9</v>
      </c>
      <c r="E728" s="111">
        <v>5</v>
      </c>
      <c r="F728" s="112" t="s">
        <v>573</v>
      </c>
      <c r="G728" s="112"/>
      <c r="H728" s="113"/>
      <c r="I728" s="47" t="s">
        <v>298</v>
      </c>
      <c r="J728" s="45" t="str">
        <f>VLOOKUP(Table13232[[#This Row],[Track]],$C$836:$E$882,2,FALSE)</f>
        <v>Vic</v>
      </c>
      <c r="K728" s="49">
        <v>100</v>
      </c>
      <c r="L728" s="45" t="str">
        <f>IF(Table13232[[#This Row],[Fin]]&lt;&gt;"1st","",Table13232[[#This Row],[Div]]*Table13232[[#This Row],[Lev Bet]])</f>
        <v/>
      </c>
      <c r="M728" s="45">
        <f>IF(Table13232[[#This Row],[Lev Ret]]="",Table13232[[#This Row],[Lev Bet]]*-1,L728-K728)</f>
        <v>-100</v>
      </c>
      <c r="N728" s="135">
        <v>200</v>
      </c>
      <c r="O728" s="135" t="str">
        <f>IF(Table13232[[#This Row],[Fin]]&lt;&gt;"1st","",Table13232[[#This Row],[Div]]*Table13232[[#This Row],[Nat and Combo Bet]])</f>
        <v/>
      </c>
      <c r="P728" s="135">
        <f>IF(Table13232[[#This Row],[Lev Ret]]="",Table13232[[#This Row],[Nat and Combo Bet]]*-1,O728-N728)</f>
        <v>-200</v>
      </c>
      <c r="Q728" s="50">
        <f t="shared" si="33"/>
        <v>1</v>
      </c>
      <c r="R728" s="50" t="str">
        <f>IF(AND(Q727=2,Q728=1),"",IF(Q728=2,(N728+N729)/2,IF(Table13232[[#This Row],[Dual Listing]]=1,Table13232[[#This Row],[Nat and Combo Bet]],11)))</f>
        <v/>
      </c>
      <c r="S728" s="50" t="str">
        <f t="shared" si="34"/>
        <v/>
      </c>
      <c r="T728" s="50" t="str">
        <f t="shared" si="35"/>
        <v/>
      </c>
      <c r="U728" s="50" t="str">
        <f>IF(Table13232[[#This Row],[Date]]&lt;$U$4,"","Live")</f>
        <v>Live</v>
      </c>
      <c r="V728" s="45" t="str">
        <f>TEXT(Table13232[[#This Row],[Date]],"DDD")</f>
        <v>Sat</v>
      </c>
      <c r="W728" s="45" t="str">
        <f>PROPER(TRIM(Table13232[[#This Row],[Horse]]))</f>
        <v>Recon</v>
      </c>
    </row>
    <row r="729" spans="1:23" x14ac:dyDescent="0.25">
      <c r="A729" s="43">
        <v>46018</v>
      </c>
      <c r="B729" s="44">
        <v>0.71180555555555558</v>
      </c>
      <c r="C729" s="44" t="s">
        <v>282</v>
      </c>
      <c r="D729" s="45">
        <v>9</v>
      </c>
      <c r="E729" s="45">
        <v>9</v>
      </c>
      <c r="F729" s="46" t="s">
        <v>582</v>
      </c>
      <c r="G729" s="46" t="s">
        <v>22</v>
      </c>
      <c r="H729" s="47"/>
      <c r="I729" s="140" t="s">
        <v>297</v>
      </c>
      <c r="J729" s="45" t="str">
        <f>VLOOKUP(Table13232[[#This Row],[Track]],$C$836:$E$882,2,FALSE)</f>
        <v>Vic</v>
      </c>
      <c r="K729" s="49">
        <v>100</v>
      </c>
      <c r="L729" s="45" t="str">
        <f>IF(Table13232[[#This Row],[Fin]]&lt;&gt;"1st","",Table13232[[#This Row],[Div]]*Table13232[[#This Row],[Lev Bet]])</f>
        <v/>
      </c>
      <c r="M729" s="45">
        <f>IF(Table13232[[#This Row],[Lev Ret]]="",Table13232[[#This Row],[Lev Bet]]*-1,L729-K729)</f>
        <v>-100</v>
      </c>
      <c r="N729" s="135">
        <v>100</v>
      </c>
      <c r="O729" s="135" t="str">
        <f>IF(Table13232[[#This Row],[Fin]]&lt;&gt;"1st","",Table13232[[#This Row],[Div]]*Table13232[[#This Row],[Nat and Combo Bet]])</f>
        <v/>
      </c>
      <c r="P729" s="135">
        <f>IF(Table13232[[#This Row],[Lev Ret]]="",Table13232[[#This Row],[Nat and Combo Bet]]*-1,O729-N729)</f>
        <v>-100</v>
      </c>
      <c r="Q729" s="50">
        <f t="shared" si="33"/>
        <v>1</v>
      </c>
      <c r="R729" s="50">
        <f>IF(AND(Q728=2,Q729=1),"",IF(Q729=2,(N729+N730)/2,IF(Table13232[[#This Row],[Dual Listing]]=1,Table13232[[#This Row],[Nat and Combo Bet]],11)))</f>
        <v>100</v>
      </c>
      <c r="S729" s="50" t="str">
        <f t="shared" si="34"/>
        <v/>
      </c>
      <c r="T729" s="50">
        <f t="shared" si="35"/>
        <v>-100</v>
      </c>
      <c r="U729" s="50" t="str">
        <f>IF(Table13232[[#This Row],[Date]]&lt;$U$4,"","Live")</f>
        <v>Live</v>
      </c>
      <c r="V729" s="45" t="str">
        <f>TEXT(Table13232[[#This Row],[Date]],"DDD")</f>
        <v>Sat</v>
      </c>
      <c r="W729" s="45" t="str">
        <f>PROPER(TRIM(Table13232[[#This Row],[Horse]]))</f>
        <v>Zouper Fund</v>
      </c>
    </row>
    <row r="730" spans="1:23" x14ac:dyDescent="0.25">
      <c r="A730" s="43">
        <v>46018</v>
      </c>
      <c r="B730" s="44">
        <v>0.72222222222222221</v>
      </c>
      <c r="C730" s="44" t="s">
        <v>13</v>
      </c>
      <c r="D730" s="45">
        <v>9</v>
      </c>
      <c r="E730" s="45">
        <v>14</v>
      </c>
      <c r="F730" s="46" t="s">
        <v>347</v>
      </c>
      <c r="G730" s="46"/>
      <c r="H730" s="47"/>
      <c r="I730" s="140" t="s">
        <v>297</v>
      </c>
      <c r="J730" s="45" t="str">
        <f>VLOOKUP(Table13232[[#This Row],[Track]],$C$836:$E$882,2,FALSE)</f>
        <v>NSW</v>
      </c>
      <c r="K730" s="49">
        <v>100</v>
      </c>
      <c r="L730" s="45" t="str">
        <f>IF(Table13232[[#This Row],[Fin]]&lt;&gt;"1st","",Table13232[[#This Row],[Div]]*Table13232[[#This Row],[Lev Bet]])</f>
        <v/>
      </c>
      <c r="M730" s="45">
        <f>IF(Table13232[[#This Row],[Lev Ret]]="",Table13232[[#This Row],[Lev Bet]]*-1,L730-K730)</f>
        <v>-100</v>
      </c>
      <c r="N730" s="135">
        <v>150</v>
      </c>
      <c r="O730" s="135" t="str">
        <f>IF(Table13232[[#This Row],[Fin]]&lt;&gt;"1st","",Table13232[[#This Row],[Div]]*Table13232[[#This Row],[Nat and Combo Bet]])</f>
        <v/>
      </c>
      <c r="P730" s="135">
        <f>IF(Table13232[[#This Row],[Lev Ret]]="",Table13232[[#This Row],[Nat and Combo Bet]]*-1,O730-N730)</f>
        <v>-150</v>
      </c>
      <c r="Q730" s="50">
        <f t="shared" si="33"/>
        <v>1</v>
      </c>
      <c r="R730" s="50">
        <f>IF(AND(Q729=2,Q730=1),"",IF(Q730=2,(N730+N731)/2,IF(Table13232[[#This Row],[Dual Listing]]=1,Table13232[[#This Row],[Nat and Combo Bet]],11)))</f>
        <v>150</v>
      </c>
      <c r="S730" s="50" t="str">
        <f t="shared" si="34"/>
        <v/>
      </c>
      <c r="T730" s="50">
        <f t="shared" si="35"/>
        <v>-150</v>
      </c>
      <c r="U730" s="50" t="str">
        <f>IF(Table13232[[#This Row],[Date]]&lt;$U$4,"","Live")</f>
        <v>Live</v>
      </c>
      <c r="V730" s="45" t="str">
        <f>TEXT(Table13232[[#This Row],[Date]],"DDD")</f>
        <v>Sat</v>
      </c>
      <c r="W730" s="45" t="str">
        <f>PROPER(TRIM(Table13232[[#This Row],[Horse]]))</f>
        <v>Rotagilla</v>
      </c>
    </row>
    <row r="731" spans="1:23" x14ac:dyDescent="0.25">
      <c r="A731" s="136">
        <v>46018</v>
      </c>
      <c r="B731" s="137">
        <v>0.78402777777777777</v>
      </c>
      <c r="C731" s="137" t="s">
        <v>12</v>
      </c>
      <c r="D731" s="138">
        <v>10</v>
      </c>
      <c r="E731" s="138">
        <v>9</v>
      </c>
      <c r="F731" s="139" t="s">
        <v>574</v>
      </c>
      <c r="G731" s="139" t="s">
        <v>21</v>
      </c>
      <c r="H731" s="140">
        <v>2.7</v>
      </c>
      <c r="I731" s="47" t="s">
        <v>298</v>
      </c>
      <c r="J731" s="45" t="str">
        <f>VLOOKUP(Table13232[[#This Row],[Track]],$C$836:$E$882,2,FALSE)</f>
        <v>Qld</v>
      </c>
      <c r="K731" s="49">
        <v>100</v>
      </c>
      <c r="L731" s="45">
        <f>IF(Table13232[[#This Row],[Fin]]&lt;&gt;"1st","",Table13232[[#This Row],[Div]]*Table13232[[#This Row],[Lev Bet]])</f>
        <v>270</v>
      </c>
      <c r="M731" s="45">
        <f>IF(Table13232[[#This Row],[Lev Ret]]="",Table13232[[#This Row],[Lev Bet]]*-1,L731-K731)</f>
        <v>170</v>
      </c>
      <c r="N731" s="135">
        <v>100</v>
      </c>
      <c r="O731" s="135">
        <f>IF(Table13232[[#This Row],[Fin]]&lt;&gt;"1st","",Table13232[[#This Row],[Div]]*Table13232[[#This Row],[Nat and Combo Bet]])</f>
        <v>270</v>
      </c>
      <c r="P731" s="135">
        <f>IF(Table13232[[#This Row],[Lev Ret]]="",Table13232[[#This Row],[Nat and Combo Bet]]*-1,O731-N731)</f>
        <v>170</v>
      </c>
      <c r="Q731" s="50">
        <f t="shared" si="33"/>
        <v>1</v>
      </c>
      <c r="R731" s="50">
        <f>IF(AND(Q730=2,Q731=1),"",IF(Q731=2,(N731+N732)/2,IF(Table13232[[#This Row],[Dual Listing]]=1,Table13232[[#This Row],[Nat and Combo Bet]],11)))</f>
        <v>100</v>
      </c>
      <c r="S731" s="50">
        <f t="shared" si="34"/>
        <v>270</v>
      </c>
      <c r="T731" s="50">
        <f t="shared" si="35"/>
        <v>170</v>
      </c>
      <c r="U731" s="50" t="str">
        <f>IF(Table13232[[#This Row],[Date]]&lt;$U$4,"","Live")</f>
        <v>Live</v>
      </c>
      <c r="V731" s="45" t="str">
        <f>TEXT(Table13232[[#This Row],[Date]],"DDD")</f>
        <v>Sat</v>
      </c>
      <c r="W731" s="45" t="str">
        <f>PROPER(TRIM(Table13232[[#This Row],[Horse]]))</f>
        <v>Chief Witness</v>
      </c>
    </row>
    <row r="732" spans="1:23" x14ac:dyDescent="0.25">
      <c r="A732" s="136">
        <v>46025</v>
      </c>
      <c r="B732" s="137">
        <v>0.5541666666666667</v>
      </c>
      <c r="C732" s="137" t="s">
        <v>12</v>
      </c>
      <c r="D732" s="138">
        <v>1</v>
      </c>
      <c r="E732" s="138">
        <v>5</v>
      </c>
      <c r="F732" s="139" t="s">
        <v>575</v>
      </c>
      <c r="G732" s="139"/>
      <c r="H732" s="140"/>
      <c r="I732" s="47" t="s">
        <v>298</v>
      </c>
      <c r="J732" s="45" t="str">
        <f>VLOOKUP(Table13232[[#This Row],[Track]],$C$836:$E$882,2,FALSE)</f>
        <v>Qld</v>
      </c>
      <c r="K732" s="49">
        <v>100</v>
      </c>
      <c r="L732" s="45" t="str">
        <f>IF(Table13232[[#This Row],[Fin]]&lt;&gt;"1st","",Table13232[[#This Row],[Div]]*Table13232[[#This Row],[Lev Bet]])</f>
        <v/>
      </c>
      <c r="M732" s="45">
        <f>IF(Table13232[[#This Row],[Lev Ret]]="",Table13232[[#This Row],[Lev Bet]]*-1,L732-K732)</f>
        <v>-100</v>
      </c>
      <c r="N732" s="135">
        <v>100</v>
      </c>
      <c r="O732" s="135" t="str">
        <f>IF(Table13232[[#This Row],[Fin]]&lt;&gt;"1st","",Table13232[[#This Row],[Div]]*Table13232[[#This Row],[Nat and Combo Bet]])</f>
        <v/>
      </c>
      <c r="P732" s="135">
        <f>IF(Table13232[[#This Row],[Lev Ret]]="",Table13232[[#This Row],[Nat and Combo Bet]]*-1,O732-N732)</f>
        <v>-100</v>
      </c>
      <c r="Q732" s="50">
        <f t="shared" si="33"/>
        <v>1</v>
      </c>
      <c r="R732" s="50">
        <f>IF(AND(Q731=2,Q732=1),"",IF(Q732=2,(N732+N733)/2,IF(Table13232[[#This Row],[Dual Listing]]=1,Table13232[[#This Row],[Nat and Combo Bet]],11)))</f>
        <v>100</v>
      </c>
      <c r="S732" s="50" t="str">
        <f t="shared" si="34"/>
        <v/>
      </c>
      <c r="T732" s="50">
        <f t="shared" si="35"/>
        <v>-100</v>
      </c>
      <c r="U732" s="50" t="str">
        <f>IF(Table13232[[#This Row],[Date]]&lt;$U$4,"","Live")</f>
        <v>Live</v>
      </c>
      <c r="V732" s="45" t="str">
        <f>TEXT(Table13232[[#This Row],[Date]],"DDD")</f>
        <v>Sat</v>
      </c>
      <c r="W732" s="45" t="str">
        <f>PROPER(TRIM(Table13232[[#This Row],[Horse]]))</f>
        <v>Belegato</v>
      </c>
    </row>
    <row r="733" spans="1:23" x14ac:dyDescent="0.25">
      <c r="A733" s="43">
        <v>46025</v>
      </c>
      <c r="B733" s="44">
        <v>0.58333333333333337</v>
      </c>
      <c r="C733" s="44" t="s">
        <v>84</v>
      </c>
      <c r="D733" s="45">
        <v>4</v>
      </c>
      <c r="E733" s="45">
        <v>1</v>
      </c>
      <c r="F733" s="46" t="s">
        <v>565</v>
      </c>
      <c r="G733" s="46" t="s">
        <v>22</v>
      </c>
      <c r="H733" s="47"/>
      <c r="I733" s="140" t="s">
        <v>297</v>
      </c>
      <c r="J733" s="45" t="str">
        <f>VLOOKUP(Table13232[[#This Row],[Track]],$C$836:$E$882,2,FALSE)</f>
        <v>Vic</v>
      </c>
      <c r="K733" s="49">
        <v>100</v>
      </c>
      <c r="L733" s="45" t="str">
        <f>IF(Table13232[[#This Row],[Fin]]&lt;&gt;"1st","",Table13232[[#This Row],[Div]]*Table13232[[#This Row],[Lev Bet]])</f>
        <v/>
      </c>
      <c r="M733" s="45">
        <f>IF(Table13232[[#This Row],[Lev Ret]]="",Table13232[[#This Row],[Lev Bet]]*-1,L733-K733)</f>
        <v>-100</v>
      </c>
      <c r="N733" s="135">
        <v>50</v>
      </c>
      <c r="O733" s="135" t="str">
        <f>IF(Table13232[[#This Row],[Fin]]&lt;&gt;"1st","",Table13232[[#This Row],[Div]]*Table13232[[#This Row],[Nat and Combo Bet]])</f>
        <v/>
      </c>
      <c r="P733" s="135">
        <f>IF(Table13232[[#This Row],[Lev Ret]]="",Table13232[[#This Row],[Nat and Combo Bet]]*-1,O733-N733)</f>
        <v>-50</v>
      </c>
      <c r="Q733" s="50">
        <f t="shared" si="33"/>
        <v>1</v>
      </c>
      <c r="R733" s="50">
        <f>IF(AND(Q732=2,Q733=1),"",IF(Q733=2,(N733+N734)/2,IF(Table13232[[#This Row],[Dual Listing]]=1,Table13232[[#This Row],[Nat and Combo Bet]],11)))</f>
        <v>50</v>
      </c>
      <c r="S733" s="50" t="str">
        <f t="shared" si="34"/>
        <v/>
      </c>
      <c r="T733" s="50">
        <f t="shared" si="35"/>
        <v>-50</v>
      </c>
      <c r="U733" s="50" t="str">
        <f>IF(Table13232[[#This Row],[Date]]&lt;$U$4,"","Live")</f>
        <v>Live</v>
      </c>
      <c r="V733" s="45" t="str">
        <f>TEXT(Table13232[[#This Row],[Date]],"DDD")</f>
        <v>Sat</v>
      </c>
      <c r="W733" s="45" t="str">
        <f>PROPER(TRIM(Table13232[[#This Row],[Horse]]))</f>
        <v>Job Done</v>
      </c>
    </row>
    <row r="734" spans="1:23" x14ac:dyDescent="0.25">
      <c r="A734" s="43">
        <v>46025</v>
      </c>
      <c r="B734" s="44">
        <v>0.60763888888888884</v>
      </c>
      <c r="C734" s="44" t="s">
        <v>84</v>
      </c>
      <c r="D734" s="45">
        <v>5</v>
      </c>
      <c r="E734" s="45">
        <v>5</v>
      </c>
      <c r="F734" s="46" t="s">
        <v>174</v>
      </c>
      <c r="G734" s="46" t="s">
        <v>23</v>
      </c>
      <c r="H734" s="47"/>
      <c r="I734" s="140" t="s">
        <v>297</v>
      </c>
      <c r="J734" s="45" t="str">
        <f>VLOOKUP(Table13232[[#This Row],[Track]],$C$836:$E$882,2,FALSE)</f>
        <v>Vic</v>
      </c>
      <c r="K734" s="49">
        <v>100</v>
      </c>
      <c r="L734" s="45" t="str">
        <f>IF(Table13232[[#This Row],[Fin]]&lt;&gt;"1st","",Table13232[[#This Row],[Div]]*Table13232[[#This Row],[Lev Bet]])</f>
        <v/>
      </c>
      <c r="M734" s="45">
        <f>IF(Table13232[[#This Row],[Lev Ret]]="",Table13232[[#This Row],[Lev Bet]]*-1,L734-K734)</f>
        <v>-100</v>
      </c>
      <c r="N734" s="135">
        <v>100</v>
      </c>
      <c r="O734" s="135" t="str">
        <f>IF(Table13232[[#This Row],[Fin]]&lt;&gt;"1st","",Table13232[[#This Row],[Div]]*Table13232[[#This Row],[Nat and Combo Bet]])</f>
        <v/>
      </c>
      <c r="P734" s="135">
        <f>IF(Table13232[[#This Row],[Lev Ret]]="",Table13232[[#This Row],[Nat and Combo Bet]]*-1,O734-N734)</f>
        <v>-100</v>
      </c>
      <c r="Q734" s="50">
        <f t="shared" si="33"/>
        <v>1</v>
      </c>
      <c r="R734" s="50">
        <f>IF(AND(Q733=2,Q734=1),"",IF(Q734=2,(N734+N735)/2,IF(Table13232[[#This Row],[Dual Listing]]=1,Table13232[[#This Row],[Nat and Combo Bet]],11)))</f>
        <v>100</v>
      </c>
      <c r="S734" s="50" t="str">
        <f t="shared" si="34"/>
        <v/>
      </c>
      <c r="T734" s="50">
        <f t="shared" si="35"/>
        <v>-100</v>
      </c>
      <c r="U734" s="50" t="str">
        <f>IF(Table13232[[#This Row],[Date]]&lt;$U$4,"","Live")</f>
        <v>Live</v>
      </c>
      <c r="V734" s="45" t="str">
        <f>TEXT(Table13232[[#This Row],[Date]],"DDD")</f>
        <v>Sat</v>
      </c>
      <c r="W734" s="45" t="str">
        <f>PROPER(TRIM(Table13232[[#This Row],[Horse]]))</f>
        <v>Ahha Ahha</v>
      </c>
    </row>
    <row r="735" spans="1:23" x14ac:dyDescent="0.25">
      <c r="A735" s="43">
        <v>46025</v>
      </c>
      <c r="B735" s="44">
        <v>0.60763888888888884</v>
      </c>
      <c r="C735" s="44" t="s">
        <v>84</v>
      </c>
      <c r="D735" s="45">
        <v>5</v>
      </c>
      <c r="E735" s="45">
        <v>11</v>
      </c>
      <c r="F735" s="46" t="s">
        <v>583</v>
      </c>
      <c r="G735" s="46" t="s">
        <v>21</v>
      </c>
      <c r="H735" s="47">
        <v>3.2</v>
      </c>
      <c r="I735" s="140" t="s">
        <v>297</v>
      </c>
      <c r="J735" s="45" t="str">
        <f>VLOOKUP(Table13232[[#This Row],[Track]],$C$836:$E$882,2,FALSE)</f>
        <v>Vic</v>
      </c>
      <c r="K735" s="49">
        <v>100</v>
      </c>
      <c r="L735" s="45">
        <f>IF(Table13232[[#This Row],[Fin]]&lt;&gt;"1st","",Table13232[[#This Row],[Div]]*Table13232[[#This Row],[Lev Bet]])</f>
        <v>320</v>
      </c>
      <c r="M735" s="45">
        <f>IF(Table13232[[#This Row],[Lev Ret]]="",Table13232[[#This Row],[Lev Bet]]*-1,L735-K735)</f>
        <v>220</v>
      </c>
      <c r="N735" s="135">
        <v>150</v>
      </c>
      <c r="O735" s="135">
        <f>IF(Table13232[[#This Row],[Fin]]&lt;&gt;"1st","",Table13232[[#This Row],[Div]]*Table13232[[#This Row],[Nat and Combo Bet]])</f>
        <v>480</v>
      </c>
      <c r="P735" s="135">
        <f>IF(Table13232[[#This Row],[Lev Ret]]="",Table13232[[#This Row],[Nat and Combo Bet]]*-1,O735-N735)</f>
        <v>330</v>
      </c>
      <c r="Q735" s="50">
        <f t="shared" si="33"/>
        <v>1</v>
      </c>
      <c r="R735" s="50">
        <f>IF(AND(Q734=2,Q735=1),"",IF(Q735=2,(N735+N736)/2,IF(Table13232[[#This Row],[Dual Listing]]=1,Table13232[[#This Row],[Nat and Combo Bet]],11)))</f>
        <v>150</v>
      </c>
      <c r="S735" s="50">
        <f t="shared" si="34"/>
        <v>480</v>
      </c>
      <c r="T735" s="50">
        <f t="shared" si="35"/>
        <v>330</v>
      </c>
      <c r="U735" s="50" t="str">
        <f>IF(Table13232[[#This Row],[Date]]&lt;$U$4,"","Live")</f>
        <v>Live</v>
      </c>
      <c r="V735" s="45" t="str">
        <f>TEXT(Table13232[[#This Row],[Date]],"DDD")</f>
        <v>Sat</v>
      </c>
      <c r="W735" s="45" t="str">
        <f>PROPER(TRIM(Table13232[[#This Row],[Horse]]))</f>
        <v>Davida</v>
      </c>
    </row>
    <row r="736" spans="1:23" x14ac:dyDescent="0.25">
      <c r="A736" s="136">
        <v>46025</v>
      </c>
      <c r="B736" s="137">
        <v>0.62708333333333333</v>
      </c>
      <c r="C736" s="137" t="s">
        <v>12</v>
      </c>
      <c r="D736" s="138">
        <v>4</v>
      </c>
      <c r="E736" s="138">
        <v>13</v>
      </c>
      <c r="F736" s="139" t="s">
        <v>576</v>
      </c>
      <c r="G736" s="139" t="s">
        <v>21</v>
      </c>
      <c r="H736" s="140">
        <v>4</v>
      </c>
      <c r="I736" s="47" t="s">
        <v>298</v>
      </c>
      <c r="J736" s="45" t="str">
        <f>VLOOKUP(Table13232[[#This Row],[Track]],$C$836:$E$882,2,FALSE)</f>
        <v>Qld</v>
      </c>
      <c r="K736" s="49">
        <v>100</v>
      </c>
      <c r="L736" s="45">
        <f>IF(Table13232[[#This Row],[Fin]]&lt;&gt;"1st","",Table13232[[#This Row],[Div]]*Table13232[[#This Row],[Lev Bet]])</f>
        <v>400</v>
      </c>
      <c r="M736" s="45">
        <f>IF(Table13232[[#This Row],[Lev Ret]]="",Table13232[[#This Row],[Lev Bet]]*-1,L736-K736)</f>
        <v>300</v>
      </c>
      <c r="N736" s="135">
        <v>100</v>
      </c>
      <c r="O736" s="135">
        <f>IF(Table13232[[#This Row],[Fin]]&lt;&gt;"1st","",Table13232[[#This Row],[Div]]*Table13232[[#This Row],[Nat and Combo Bet]])</f>
        <v>400</v>
      </c>
      <c r="P736" s="135">
        <f>IF(Table13232[[#This Row],[Lev Ret]]="",Table13232[[#This Row],[Nat and Combo Bet]]*-1,O736-N736)</f>
        <v>300</v>
      </c>
      <c r="Q736" s="50">
        <f t="shared" si="33"/>
        <v>1</v>
      </c>
      <c r="R736" s="50">
        <f>IF(AND(Q735=2,Q736=1),"",IF(Q736=2,(N736+N737)/2,IF(Table13232[[#This Row],[Dual Listing]]=1,Table13232[[#This Row],[Nat and Combo Bet]],11)))</f>
        <v>100</v>
      </c>
      <c r="S736" s="50">
        <f t="shared" si="34"/>
        <v>400</v>
      </c>
      <c r="T736" s="50">
        <f t="shared" si="35"/>
        <v>300</v>
      </c>
      <c r="U736" s="50" t="str">
        <f>IF(Table13232[[#This Row],[Date]]&lt;$U$4,"","Live")</f>
        <v>Live</v>
      </c>
      <c r="V736" s="45" t="str">
        <f>TEXT(Table13232[[#This Row],[Date]],"DDD")</f>
        <v>Sat</v>
      </c>
      <c r="W736" s="45" t="str">
        <f>PROPER(TRIM(Table13232[[#This Row],[Horse]]))</f>
        <v>Esjay</v>
      </c>
    </row>
    <row r="737" spans="1:23" x14ac:dyDescent="0.25">
      <c r="A737" s="136">
        <v>46025</v>
      </c>
      <c r="B737" s="137">
        <v>0.63194444444444442</v>
      </c>
      <c r="C737" s="137" t="s">
        <v>84</v>
      </c>
      <c r="D737" s="138">
        <v>6</v>
      </c>
      <c r="E737" s="138">
        <v>9</v>
      </c>
      <c r="F737" s="139" t="s">
        <v>577</v>
      </c>
      <c r="G737" s="139" t="s">
        <v>22</v>
      </c>
      <c r="H737" s="140"/>
      <c r="I737" s="47" t="s">
        <v>298</v>
      </c>
      <c r="J737" s="45" t="str">
        <f>VLOOKUP(Table13232[[#This Row],[Track]],$C$836:$E$882,2,FALSE)</f>
        <v>Vic</v>
      </c>
      <c r="K737" s="49">
        <v>100</v>
      </c>
      <c r="L737" s="45" t="str">
        <f>IF(Table13232[[#This Row],[Fin]]&lt;&gt;"1st","",Table13232[[#This Row],[Div]]*Table13232[[#This Row],[Lev Bet]])</f>
        <v/>
      </c>
      <c r="M737" s="45">
        <f>IF(Table13232[[#This Row],[Lev Ret]]="",Table13232[[#This Row],[Lev Bet]]*-1,L737-K737)</f>
        <v>-100</v>
      </c>
      <c r="N737" s="135">
        <v>200</v>
      </c>
      <c r="O737" s="135" t="str">
        <f>IF(Table13232[[#This Row],[Fin]]&lt;&gt;"1st","",Table13232[[#This Row],[Div]]*Table13232[[#This Row],[Nat and Combo Bet]])</f>
        <v/>
      </c>
      <c r="P737" s="135">
        <f>IF(Table13232[[#This Row],[Lev Ret]]="",Table13232[[#This Row],[Nat and Combo Bet]]*-1,O737-N737)</f>
        <v>-200</v>
      </c>
      <c r="Q737" s="50">
        <f t="shared" si="33"/>
        <v>1</v>
      </c>
      <c r="R737" s="50">
        <f>IF(AND(Q736=2,Q737=1),"",IF(Q737=2,(N737+N738)/2,IF(Table13232[[#This Row],[Dual Listing]]=1,Table13232[[#This Row],[Nat and Combo Bet]],11)))</f>
        <v>200</v>
      </c>
      <c r="S737" s="50" t="str">
        <f t="shared" si="34"/>
        <v/>
      </c>
      <c r="T737" s="50">
        <f t="shared" si="35"/>
        <v>-200</v>
      </c>
      <c r="U737" s="50" t="str">
        <f>IF(Table13232[[#This Row],[Date]]&lt;$U$4,"","Live")</f>
        <v>Live</v>
      </c>
      <c r="V737" s="45" t="str">
        <f>TEXT(Table13232[[#This Row],[Date]],"DDD")</f>
        <v>Sat</v>
      </c>
      <c r="W737" s="45" t="str">
        <f>PROPER(TRIM(Table13232[[#This Row],[Horse]]))</f>
        <v>Codigo</v>
      </c>
    </row>
    <row r="738" spans="1:23" x14ac:dyDescent="0.25">
      <c r="A738" s="43">
        <v>46025</v>
      </c>
      <c r="B738" s="44">
        <v>0.63194444444444442</v>
      </c>
      <c r="C738" s="44" t="s">
        <v>84</v>
      </c>
      <c r="D738" s="45">
        <v>6</v>
      </c>
      <c r="E738" s="45">
        <v>5</v>
      </c>
      <c r="F738" s="46" t="s">
        <v>535</v>
      </c>
      <c r="G738" s="46" t="s">
        <v>21</v>
      </c>
      <c r="H738" s="47">
        <v>2.6</v>
      </c>
      <c r="I738" s="140" t="s">
        <v>297</v>
      </c>
      <c r="J738" s="45" t="str">
        <f>VLOOKUP(Table13232[[#This Row],[Track]],$C$836:$E$882,2,FALSE)</f>
        <v>Vic</v>
      </c>
      <c r="K738" s="49">
        <v>100</v>
      </c>
      <c r="L738" s="45">
        <f>IF(Table13232[[#This Row],[Fin]]&lt;&gt;"1st","",Table13232[[#This Row],[Div]]*Table13232[[#This Row],[Lev Bet]])</f>
        <v>260</v>
      </c>
      <c r="M738" s="45">
        <f>IF(Table13232[[#This Row],[Lev Ret]]="",Table13232[[#This Row],[Lev Bet]]*-1,L738-K738)</f>
        <v>160</v>
      </c>
      <c r="N738" s="135">
        <v>100</v>
      </c>
      <c r="O738" s="135">
        <f>IF(Table13232[[#This Row],[Fin]]&lt;&gt;"1st","",Table13232[[#This Row],[Div]]*Table13232[[#This Row],[Nat and Combo Bet]])</f>
        <v>260</v>
      </c>
      <c r="P738" s="135">
        <f>IF(Table13232[[#This Row],[Lev Ret]]="",Table13232[[#This Row],[Nat and Combo Bet]]*-1,O738-N738)</f>
        <v>160</v>
      </c>
      <c r="Q738" s="50">
        <f t="shared" si="33"/>
        <v>1</v>
      </c>
      <c r="R738" s="50">
        <f>IF(AND(Q737=2,Q738=1),"",IF(Q738=2,(N738+N739)/2,IF(Table13232[[#This Row],[Dual Listing]]=1,Table13232[[#This Row],[Nat and Combo Bet]],11)))</f>
        <v>100</v>
      </c>
      <c r="S738" s="50">
        <f t="shared" si="34"/>
        <v>260</v>
      </c>
      <c r="T738" s="50">
        <f t="shared" si="35"/>
        <v>160</v>
      </c>
      <c r="U738" s="50" t="str">
        <f>IF(Table13232[[#This Row],[Date]]&lt;$U$4,"","Live")</f>
        <v>Live</v>
      </c>
      <c r="V738" s="45" t="str">
        <f>TEXT(Table13232[[#This Row],[Date]],"DDD")</f>
        <v>Sat</v>
      </c>
      <c r="W738" s="45" t="str">
        <f>PROPER(TRIM(Table13232[[#This Row],[Horse]]))</f>
        <v>Harry'S Yacht</v>
      </c>
    </row>
    <row r="739" spans="1:23" x14ac:dyDescent="0.25">
      <c r="A739" s="136">
        <v>46025</v>
      </c>
      <c r="B739" s="137">
        <v>0.65138888888888891</v>
      </c>
      <c r="C739" s="137" t="s">
        <v>12</v>
      </c>
      <c r="D739" s="138">
        <v>5</v>
      </c>
      <c r="E739" s="138">
        <v>10</v>
      </c>
      <c r="F739" s="139" t="s">
        <v>578</v>
      </c>
      <c r="G739" s="139"/>
      <c r="H739" s="140"/>
      <c r="I739" s="47" t="s">
        <v>298</v>
      </c>
      <c r="J739" s="45" t="str">
        <f>VLOOKUP(Table13232[[#This Row],[Track]],$C$836:$E$882,2,FALSE)</f>
        <v>Qld</v>
      </c>
      <c r="K739" s="49">
        <v>100</v>
      </c>
      <c r="L739" s="45" t="str">
        <f>IF(Table13232[[#This Row],[Fin]]&lt;&gt;"1st","",Table13232[[#This Row],[Div]]*Table13232[[#This Row],[Lev Bet]])</f>
        <v/>
      </c>
      <c r="M739" s="45">
        <f>IF(Table13232[[#This Row],[Lev Ret]]="",Table13232[[#This Row],[Lev Bet]]*-1,L739-K739)</f>
        <v>-100</v>
      </c>
      <c r="N739" s="135">
        <v>100</v>
      </c>
      <c r="O739" s="135" t="str">
        <f>IF(Table13232[[#This Row],[Fin]]&lt;&gt;"1st","",Table13232[[#This Row],[Div]]*Table13232[[#This Row],[Nat and Combo Bet]])</f>
        <v/>
      </c>
      <c r="P739" s="135">
        <f>IF(Table13232[[#This Row],[Lev Ret]]="",Table13232[[#This Row],[Nat and Combo Bet]]*-1,O739-N739)</f>
        <v>-100</v>
      </c>
      <c r="Q739" s="50">
        <f t="shared" si="33"/>
        <v>1</v>
      </c>
      <c r="R739" s="50">
        <f>IF(AND(Q738=2,Q739=1),"",IF(Q739=2,(N739+N740)/2,IF(Table13232[[#This Row],[Dual Listing]]=1,Table13232[[#This Row],[Nat and Combo Bet]],11)))</f>
        <v>100</v>
      </c>
      <c r="S739" s="50" t="str">
        <f t="shared" si="34"/>
        <v/>
      </c>
      <c r="T739" s="50">
        <f t="shared" si="35"/>
        <v>-100</v>
      </c>
      <c r="U739" s="50" t="str">
        <f>IF(Table13232[[#This Row],[Date]]&lt;$U$4,"","Live")</f>
        <v>Live</v>
      </c>
      <c r="V739" s="45" t="str">
        <f>TEXT(Table13232[[#This Row],[Date]],"DDD")</f>
        <v>Sat</v>
      </c>
      <c r="W739" s="45" t="str">
        <f>PROPER(TRIM(Table13232[[#This Row],[Horse]]))</f>
        <v>Texas Fireball</v>
      </c>
    </row>
    <row r="740" spans="1:23" x14ac:dyDescent="0.25">
      <c r="A740" s="109">
        <v>46025</v>
      </c>
      <c r="B740" s="53">
        <v>0.65625</v>
      </c>
      <c r="C740" s="110" t="s">
        <v>84</v>
      </c>
      <c r="D740" s="111">
        <v>7</v>
      </c>
      <c r="E740" s="111">
        <v>4</v>
      </c>
      <c r="F740" s="112" t="s">
        <v>579</v>
      </c>
      <c r="G740" s="112"/>
      <c r="H740" s="113"/>
      <c r="I740" s="140" t="s">
        <v>297</v>
      </c>
      <c r="J740" s="45" t="str">
        <f>VLOOKUP(Table13232[[#This Row],[Track]],$C$836:$E$882,2,FALSE)</f>
        <v>Vic</v>
      </c>
      <c r="K740" s="49">
        <v>100</v>
      </c>
      <c r="L740" s="45" t="str">
        <f>IF(Table13232[[#This Row],[Fin]]&lt;&gt;"1st","",Table13232[[#This Row],[Div]]*Table13232[[#This Row],[Lev Bet]])</f>
        <v/>
      </c>
      <c r="M740" s="45">
        <f>IF(Table13232[[#This Row],[Lev Ret]]="",Table13232[[#This Row],[Lev Bet]]*-1,L740-K740)</f>
        <v>-100</v>
      </c>
      <c r="N740" s="135">
        <v>100</v>
      </c>
      <c r="O740" s="135" t="str">
        <f>IF(Table13232[[#This Row],[Fin]]&lt;&gt;"1st","",Table13232[[#This Row],[Div]]*Table13232[[#This Row],[Nat and Combo Bet]])</f>
        <v/>
      </c>
      <c r="P740" s="135">
        <f>IF(Table13232[[#This Row],[Lev Ret]]="",Table13232[[#This Row],[Nat and Combo Bet]]*-1,O740-N740)</f>
        <v>-100</v>
      </c>
      <c r="Q740" s="50">
        <f t="shared" si="33"/>
        <v>2</v>
      </c>
      <c r="R740" s="50">
        <f>IF(AND(Q739=2,Q740=1),"",IF(Q740=2,(N740+N741)/2,IF(Table13232[[#This Row],[Dual Listing]]=1,Table13232[[#This Row],[Nat and Combo Bet]],11)))</f>
        <v>150</v>
      </c>
      <c r="S740" s="50" t="str">
        <f t="shared" si="34"/>
        <v/>
      </c>
      <c r="T740" s="50">
        <f t="shared" si="35"/>
        <v>-150</v>
      </c>
      <c r="U740" s="50" t="str">
        <f>IF(Table13232[[#This Row],[Date]]&lt;$U$4,"","Live")</f>
        <v>Live</v>
      </c>
      <c r="V740" s="45" t="str">
        <f>TEXT(Table13232[[#This Row],[Date]],"DDD")</f>
        <v>Sat</v>
      </c>
      <c r="W740" s="45" t="str">
        <f>PROPER(TRIM(Table13232[[#This Row],[Horse]]))</f>
        <v>Naval Academy</v>
      </c>
    </row>
    <row r="741" spans="1:23" x14ac:dyDescent="0.25">
      <c r="A741" s="109">
        <v>46025</v>
      </c>
      <c r="B741" s="53">
        <v>0.65625</v>
      </c>
      <c r="C741" s="110" t="s">
        <v>84</v>
      </c>
      <c r="D741" s="111">
        <v>7</v>
      </c>
      <c r="E741" s="111">
        <v>4</v>
      </c>
      <c r="F741" s="112" t="s">
        <v>579</v>
      </c>
      <c r="G741" s="112"/>
      <c r="H741" s="113"/>
      <c r="I741" s="47" t="s">
        <v>298</v>
      </c>
      <c r="J741" s="45" t="str">
        <f>VLOOKUP(Table13232[[#This Row],[Track]],$C$836:$E$882,2,FALSE)</f>
        <v>Vic</v>
      </c>
      <c r="K741" s="49">
        <v>100</v>
      </c>
      <c r="L741" s="45" t="str">
        <f>IF(Table13232[[#This Row],[Fin]]&lt;&gt;"1st","",Table13232[[#This Row],[Div]]*Table13232[[#This Row],[Lev Bet]])</f>
        <v/>
      </c>
      <c r="M741" s="45">
        <f>IF(Table13232[[#This Row],[Lev Ret]]="",Table13232[[#This Row],[Lev Bet]]*-1,L741-K741)</f>
        <v>-100</v>
      </c>
      <c r="N741" s="135">
        <v>200</v>
      </c>
      <c r="O741" s="135" t="str">
        <f>IF(Table13232[[#This Row],[Fin]]&lt;&gt;"1st","",Table13232[[#This Row],[Div]]*Table13232[[#This Row],[Nat and Combo Bet]])</f>
        <v/>
      </c>
      <c r="P741" s="135">
        <f>IF(Table13232[[#This Row],[Lev Ret]]="",Table13232[[#This Row],[Nat and Combo Bet]]*-1,O741-N741)</f>
        <v>-200</v>
      </c>
      <c r="Q741" s="50">
        <f t="shared" si="33"/>
        <v>1</v>
      </c>
      <c r="R741" s="50" t="str">
        <f>IF(AND(Q740=2,Q741=1),"",IF(Q741=2,(N741+N742)/2,IF(Table13232[[#This Row],[Dual Listing]]=1,Table13232[[#This Row],[Nat and Combo Bet]],11)))</f>
        <v/>
      </c>
      <c r="S741" s="50" t="str">
        <f t="shared" si="34"/>
        <v/>
      </c>
      <c r="T741" s="50" t="str">
        <f t="shared" si="35"/>
        <v/>
      </c>
      <c r="U741" s="50" t="str">
        <f>IF(Table13232[[#This Row],[Date]]&lt;$U$4,"","Live")</f>
        <v>Live</v>
      </c>
      <c r="V741" s="45" t="str">
        <f>TEXT(Table13232[[#This Row],[Date]],"DDD")</f>
        <v>Sat</v>
      </c>
      <c r="W741" s="45" t="str">
        <f>PROPER(TRIM(Table13232[[#This Row],[Horse]]))</f>
        <v>Naval Academy</v>
      </c>
    </row>
    <row r="742" spans="1:23" x14ac:dyDescent="0.25">
      <c r="A742" s="43">
        <v>46025</v>
      </c>
      <c r="B742" s="44">
        <v>0.68402777777777779</v>
      </c>
      <c r="C742" s="44" t="s">
        <v>84</v>
      </c>
      <c r="D742" s="45">
        <v>8</v>
      </c>
      <c r="E742" s="45">
        <v>3</v>
      </c>
      <c r="F742" s="46" t="s">
        <v>584</v>
      </c>
      <c r="G742" s="46" t="s">
        <v>21</v>
      </c>
      <c r="H742" s="47">
        <v>4.8</v>
      </c>
      <c r="I742" s="140" t="s">
        <v>297</v>
      </c>
      <c r="J742" s="45" t="str">
        <f>VLOOKUP(Table13232[[#This Row],[Track]],$C$836:$E$882,2,FALSE)</f>
        <v>Vic</v>
      </c>
      <c r="K742" s="49">
        <v>100</v>
      </c>
      <c r="L742" s="45">
        <f>IF(Table13232[[#This Row],[Fin]]&lt;&gt;"1st","",Table13232[[#This Row],[Div]]*Table13232[[#This Row],[Lev Bet]])</f>
        <v>480</v>
      </c>
      <c r="M742" s="45">
        <f>IF(Table13232[[#This Row],[Lev Ret]]="",Table13232[[#This Row],[Lev Bet]]*-1,L742-K742)</f>
        <v>380</v>
      </c>
      <c r="N742" s="135">
        <v>150</v>
      </c>
      <c r="O742" s="135">
        <f>IF(Table13232[[#This Row],[Fin]]&lt;&gt;"1st","",Table13232[[#This Row],[Div]]*Table13232[[#This Row],[Nat and Combo Bet]])</f>
        <v>720</v>
      </c>
      <c r="P742" s="135">
        <f>IF(Table13232[[#This Row],[Lev Ret]]="",Table13232[[#This Row],[Nat and Combo Bet]]*-1,O742-N742)</f>
        <v>570</v>
      </c>
      <c r="Q742" s="50">
        <f t="shared" si="33"/>
        <v>1</v>
      </c>
      <c r="R742" s="50">
        <f>IF(AND(Q741=2,Q742=1),"",IF(Q742=2,(N742+N743)/2,IF(Table13232[[#This Row],[Dual Listing]]=1,Table13232[[#This Row],[Nat and Combo Bet]],11)))</f>
        <v>150</v>
      </c>
      <c r="S742" s="50">
        <f t="shared" si="34"/>
        <v>720</v>
      </c>
      <c r="T742" s="50">
        <f t="shared" si="35"/>
        <v>570</v>
      </c>
      <c r="U742" s="50" t="str">
        <f>IF(Table13232[[#This Row],[Date]]&lt;$U$4,"","Live")</f>
        <v>Live</v>
      </c>
      <c r="V742" s="45" t="str">
        <f>TEXT(Table13232[[#This Row],[Date]],"DDD")</f>
        <v>Sat</v>
      </c>
      <c r="W742" s="45" t="str">
        <f>PROPER(TRIM(Table13232[[#This Row],[Horse]]))</f>
        <v>Precious Charm</v>
      </c>
    </row>
    <row r="743" spans="1:23" x14ac:dyDescent="0.25">
      <c r="A743" s="43">
        <v>46025</v>
      </c>
      <c r="B743" s="44">
        <v>0.69791666666666663</v>
      </c>
      <c r="C743" s="44" t="s">
        <v>13</v>
      </c>
      <c r="D743" s="45">
        <v>8</v>
      </c>
      <c r="E743" s="45">
        <v>10</v>
      </c>
      <c r="F743" s="46" t="s">
        <v>469</v>
      </c>
      <c r="G743" s="46" t="s">
        <v>23</v>
      </c>
      <c r="H743" s="47"/>
      <c r="I743" s="140" t="s">
        <v>297</v>
      </c>
      <c r="J743" s="45" t="str">
        <f>VLOOKUP(Table13232[[#This Row],[Track]],$C$836:$E$882,2,FALSE)</f>
        <v>NSW</v>
      </c>
      <c r="K743" s="49">
        <v>100</v>
      </c>
      <c r="L743" s="45" t="str">
        <f>IF(Table13232[[#This Row],[Fin]]&lt;&gt;"1st","",Table13232[[#This Row],[Div]]*Table13232[[#This Row],[Lev Bet]])</f>
        <v/>
      </c>
      <c r="M743" s="45">
        <f>IF(Table13232[[#This Row],[Lev Ret]]="",Table13232[[#This Row],[Lev Bet]]*-1,L743-K743)</f>
        <v>-100</v>
      </c>
      <c r="N743" s="135">
        <v>100</v>
      </c>
      <c r="O743" s="135" t="str">
        <f>IF(Table13232[[#This Row],[Fin]]&lt;&gt;"1st","",Table13232[[#This Row],[Div]]*Table13232[[#This Row],[Nat and Combo Bet]])</f>
        <v/>
      </c>
      <c r="P743" s="135">
        <f>IF(Table13232[[#This Row],[Lev Ret]]="",Table13232[[#This Row],[Nat and Combo Bet]]*-1,O743-N743)</f>
        <v>-100</v>
      </c>
      <c r="Q743" s="50">
        <f t="shared" si="33"/>
        <v>1</v>
      </c>
      <c r="R743" s="50">
        <f>IF(AND(Q742=2,Q743=1),"",IF(Q743=2,(N743+N744)/2,IF(Table13232[[#This Row],[Dual Listing]]=1,Table13232[[#This Row],[Nat and Combo Bet]],11)))</f>
        <v>100</v>
      </c>
      <c r="S743" s="50" t="str">
        <f t="shared" si="34"/>
        <v/>
      </c>
      <c r="T743" s="50">
        <f t="shared" si="35"/>
        <v>-100</v>
      </c>
      <c r="U743" s="50" t="str">
        <f>IF(Table13232[[#This Row],[Date]]&lt;$U$4,"","Live")</f>
        <v>Live</v>
      </c>
      <c r="V743" s="45" t="str">
        <f>TEXT(Table13232[[#This Row],[Date]],"DDD")</f>
        <v>Sat</v>
      </c>
      <c r="W743" s="45" t="str">
        <f>PROPER(TRIM(Table13232[[#This Row],[Horse]]))</f>
        <v>Midnight Opal</v>
      </c>
    </row>
    <row r="744" spans="1:23" x14ac:dyDescent="0.25">
      <c r="A744" s="43">
        <v>46025</v>
      </c>
      <c r="B744" s="44">
        <v>0.71180555555555558</v>
      </c>
      <c r="C744" s="44" t="s">
        <v>84</v>
      </c>
      <c r="D744" s="45">
        <v>9</v>
      </c>
      <c r="E744" s="45">
        <v>15</v>
      </c>
      <c r="F744" s="46" t="s">
        <v>585</v>
      </c>
      <c r="G744" s="46"/>
      <c r="H744" s="47"/>
      <c r="I744" s="140" t="s">
        <v>297</v>
      </c>
      <c r="J744" s="45" t="str">
        <f>VLOOKUP(Table13232[[#This Row],[Track]],$C$836:$E$882,2,FALSE)</f>
        <v>Vic</v>
      </c>
      <c r="K744" s="49">
        <v>100</v>
      </c>
      <c r="L744" s="45" t="str">
        <f>IF(Table13232[[#This Row],[Fin]]&lt;&gt;"1st","",Table13232[[#This Row],[Div]]*Table13232[[#This Row],[Lev Bet]])</f>
        <v/>
      </c>
      <c r="M744" s="45">
        <f>IF(Table13232[[#This Row],[Lev Ret]]="",Table13232[[#This Row],[Lev Bet]]*-1,L744-K744)</f>
        <v>-100</v>
      </c>
      <c r="N744" s="135">
        <v>150</v>
      </c>
      <c r="O744" s="135" t="str">
        <f>IF(Table13232[[#This Row],[Fin]]&lt;&gt;"1st","",Table13232[[#This Row],[Div]]*Table13232[[#This Row],[Nat and Combo Bet]])</f>
        <v/>
      </c>
      <c r="P744" s="135">
        <f>IF(Table13232[[#This Row],[Lev Ret]]="",Table13232[[#This Row],[Nat and Combo Bet]]*-1,O744-N744)</f>
        <v>-150</v>
      </c>
      <c r="Q744" s="50">
        <f t="shared" si="33"/>
        <v>1</v>
      </c>
      <c r="R744" s="50">
        <f>IF(AND(Q743=2,Q744=1),"",IF(Q744=2,(N744+N745)/2,IF(Table13232[[#This Row],[Dual Listing]]=1,Table13232[[#This Row],[Nat and Combo Bet]],11)))</f>
        <v>150</v>
      </c>
      <c r="S744" s="50" t="str">
        <f t="shared" si="34"/>
        <v/>
      </c>
      <c r="T744" s="50">
        <f t="shared" si="35"/>
        <v>-150</v>
      </c>
      <c r="U744" s="50" t="str">
        <f>IF(Table13232[[#This Row],[Date]]&lt;$U$4,"","Live")</f>
        <v>Live</v>
      </c>
      <c r="V744" s="45" t="str">
        <f>TEXT(Table13232[[#This Row],[Date]],"DDD")</f>
        <v>Sat</v>
      </c>
      <c r="W744" s="45" t="str">
        <f>PROPER(TRIM(Table13232[[#This Row],[Horse]]))</f>
        <v>Biancelli</v>
      </c>
    </row>
    <row r="745" spans="1:23" x14ac:dyDescent="0.25">
      <c r="A745" s="109">
        <v>46025</v>
      </c>
      <c r="B745" s="53">
        <v>0.72222222222222221</v>
      </c>
      <c r="C745" s="110" t="s">
        <v>13</v>
      </c>
      <c r="D745" s="111">
        <v>9</v>
      </c>
      <c r="E745" s="111">
        <v>2</v>
      </c>
      <c r="F745" s="112" t="s">
        <v>212</v>
      </c>
      <c r="G745" s="112"/>
      <c r="H745" s="113"/>
      <c r="I745" s="140" t="s">
        <v>297</v>
      </c>
      <c r="J745" s="45" t="str">
        <f>VLOOKUP(Table13232[[#This Row],[Track]],$C$836:$E$882,2,FALSE)</f>
        <v>NSW</v>
      </c>
      <c r="K745" s="49">
        <v>100</v>
      </c>
      <c r="L745" s="45" t="str">
        <f>IF(Table13232[[#This Row],[Fin]]&lt;&gt;"1st","",Table13232[[#This Row],[Div]]*Table13232[[#This Row],[Lev Bet]])</f>
        <v/>
      </c>
      <c r="M745" s="45">
        <f>IF(Table13232[[#This Row],[Lev Ret]]="",Table13232[[#This Row],[Lev Bet]]*-1,L745-K745)</f>
        <v>-100</v>
      </c>
      <c r="N745" s="135">
        <v>150</v>
      </c>
      <c r="O745" s="135" t="str">
        <f>IF(Table13232[[#This Row],[Fin]]&lt;&gt;"1st","",Table13232[[#This Row],[Div]]*Table13232[[#This Row],[Nat and Combo Bet]])</f>
        <v/>
      </c>
      <c r="P745" s="135">
        <f>IF(Table13232[[#This Row],[Lev Ret]]="",Table13232[[#This Row],[Nat and Combo Bet]]*-1,O745-N745)</f>
        <v>-150</v>
      </c>
      <c r="Q745" s="50">
        <f t="shared" si="33"/>
        <v>2</v>
      </c>
      <c r="R745" s="50">
        <f>IF(AND(Q744=2,Q745=1),"",IF(Q745=2,(N745+N746)/2,IF(Table13232[[#This Row],[Dual Listing]]=1,Table13232[[#This Row],[Nat and Combo Bet]],11)))</f>
        <v>150</v>
      </c>
      <c r="S745" s="50" t="str">
        <f t="shared" si="34"/>
        <v/>
      </c>
      <c r="T745" s="50">
        <f t="shared" si="35"/>
        <v>-150</v>
      </c>
      <c r="U745" s="50" t="str">
        <f>IF(Table13232[[#This Row],[Date]]&lt;$U$4,"","Live")</f>
        <v>Live</v>
      </c>
      <c r="V745" s="45" t="str">
        <f>TEXT(Table13232[[#This Row],[Date]],"DDD")</f>
        <v>Sat</v>
      </c>
      <c r="W745" s="45" t="str">
        <f>PROPER(TRIM(Table13232[[#This Row],[Horse]]))</f>
        <v>Hawker Hall</v>
      </c>
    </row>
    <row r="746" spans="1:23" x14ac:dyDescent="0.25">
      <c r="A746" s="109">
        <v>46025</v>
      </c>
      <c r="B746" s="53">
        <v>0.72222222222222221</v>
      </c>
      <c r="C746" s="110" t="s">
        <v>13</v>
      </c>
      <c r="D746" s="111">
        <v>9</v>
      </c>
      <c r="E746" s="111">
        <v>2</v>
      </c>
      <c r="F746" s="112" t="s">
        <v>212</v>
      </c>
      <c r="G746" s="112"/>
      <c r="H746" s="113"/>
      <c r="I746" s="47" t="s">
        <v>298</v>
      </c>
      <c r="J746" s="45" t="str">
        <f>VLOOKUP(Table13232[[#This Row],[Track]],$C$836:$E$882,2,FALSE)</f>
        <v>NSW</v>
      </c>
      <c r="K746" s="49">
        <v>100</v>
      </c>
      <c r="L746" s="45" t="str">
        <f>IF(Table13232[[#This Row],[Fin]]&lt;&gt;"1st","",Table13232[[#This Row],[Div]]*Table13232[[#This Row],[Lev Bet]])</f>
        <v/>
      </c>
      <c r="M746" s="45">
        <f>IF(Table13232[[#This Row],[Lev Ret]]="",Table13232[[#This Row],[Lev Bet]]*-1,L746-K746)</f>
        <v>-100</v>
      </c>
      <c r="N746" s="135">
        <v>150</v>
      </c>
      <c r="O746" s="135" t="str">
        <f>IF(Table13232[[#This Row],[Fin]]&lt;&gt;"1st","",Table13232[[#This Row],[Div]]*Table13232[[#This Row],[Nat and Combo Bet]])</f>
        <v/>
      </c>
      <c r="P746" s="135">
        <f>IF(Table13232[[#This Row],[Lev Ret]]="",Table13232[[#This Row],[Nat and Combo Bet]]*-1,O746-N746)</f>
        <v>-150</v>
      </c>
      <c r="Q746" s="50">
        <f t="shared" si="33"/>
        <v>1</v>
      </c>
      <c r="R746" s="50" t="str">
        <f>IF(AND(Q745=2,Q746=1),"",IF(Q746=2,(N746+N747)/2,IF(Table13232[[#This Row],[Dual Listing]]=1,Table13232[[#This Row],[Nat and Combo Bet]],11)))</f>
        <v/>
      </c>
      <c r="S746" s="50" t="str">
        <f t="shared" si="34"/>
        <v/>
      </c>
      <c r="T746" s="50" t="str">
        <f t="shared" si="35"/>
        <v/>
      </c>
      <c r="U746" s="50" t="str">
        <f>IF(Table13232[[#This Row],[Date]]&lt;$U$4,"","Live")</f>
        <v>Live</v>
      </c>
      <c r="V746" s="45" t="str">
        <f>TEXT(Table13232[[#This Row],[Date]],"DDD")</f>
        <v>Sat</v>
      </c>
      <c r="W746" s="45" t="str">
        <f>PROPER(TRIM(Table13232[[#This Row],[Horse]]))</f>
        <v>Hawker Hall</v>
      </c>
    </row>
    <row r="747" spans="1:23" x14ac:dyDescent="0.25">
      <c r="A747" s="136">
        <v>46025</v>
      </c>
      <c r="B747" s="137">
        <v>0.73055555555555551</v>
      </c>
      <c r="C747" s="137" t="s">
        <v>12</v>
      </c>
      <c r="D747" s="138">
        <v>8</v>
      </c>
      <c r="E747" s="138">
        <v>7</v>
      </c>
      <c r="F747" s="139" t="s">
        <v>580</v>
      </c>
      <c r="G747" s="139"/>
      <c r="H747" s="140"/>
      <c r="I747" s="47" t="s">
        <v>298</v>
      </c>
      <c r="J747" s="45" t="str">
        <f>VLOOKUP(Table13232[[#This Row],[Track]],$C$836:$E$882,2,FALSE)</f>
        <v>Qld</v>
      </c>
      <c r="K747" s="49">
        <v>100</v>
      </c>
      <c r="L747" s="45" t="str">
        <f>IF(Table13232[[#This Row],[Fin]]&lt;&gt;"1st","",Table13232[[#This Row],[Div]]*Table13232[[#This Row],[Lev Bet]])</f>
        <v/>
      </c>
      <c r="M747" s="45">
        <f>IF(Table13232[[#This Row],[Lev Ret]]="",Table13232[[#This Row],[Lev Bet]]*-1,L747-K747)</f>
        <v>-100</v>
      </c>
      <c r="N747" s="135">
        <v>100</v>
      </c>
      <c r="O747" s="135" t="str">
        <f>IF(Table13232[[#This Row],[Fin]]&lt;&gt;"1st","",Table13232[[#This Row],[Div]]*Table13232[[#This Row],[Nat and Combo Bet]])</f>
        <v/>
      </c>
      <c r="P747" s="135">
        <f>IF(Table13232[[#This Row],[Lev Ret]]="",Table13232[[#This Row],[Nat and Combo Bet]]*-1,O747-N747)</f>
        <v>-100</v>
      </c>
      <c r="Q747" s="50">
        <f t="shared" si="33"/>
        <v>1</v>
      </c>
      <c r="R747" s="50">
        <f>IF(AND(Q746=2,Q747=1),"",IF(Q747=2,(N747+N748)/2,IF(Table13232[[#This Row],[Dual Listing]]=1,Table13232[[#This Row],[Nat and Combo Bet]],11)))</f>
        <v>100</v>
      </c>
      <c r="S747" s="50" t="str">
        <f t="shared" si="34"/>
        <v/>
      </c>
      <c r="T747" s="50">
        <f t="shared" si="35"/>
        <v>-100</v>
      </c>
      <c r="U747" s="50" t="str">
        <f>IF(Table13232[[#This Row],[Date]]&lt;$U$4,"","Live")</f>
        <v>Live</v>
      </c>
      <c r="V747" s="45" t="str">
        <f>TEXT(Table13232[[#This Row],[Date]],"DDD")</f>
        <v>Sat</v>
      </c>
      <c r="W747" s="45" t="str">
        <f>PROPER(TRIM(Table13232[[#This Row],[Horse]]))</f>
        <v>Tavs</v>
      </c>
    </row>
    <row r="748" spans="1:23" x14ac:dyDescent="0.25">
      <c r="A748" s="43">
        <v>46025</v>
      </c>
      <c r="B748" s="44">
        <v>0.74652777777777779</v>
      </c>
      <c r="C748" s="44" t="s">
        <v>13</v>
      </c>
      <c r="D748" s="45">
        <v>10</v>
      </c>
      <c r="E748" s="45">
        <v>17</v>
      </c>
      <c r="F748" s="46" t="s">
        <v>586</v>
      </c>
      <c r="G748" s="46"/>
      <c r="H748" s="47"/>
      <c r="I748" s="140" t="s">
        <v>297</v>
      </c>
      <c r="J748" s="45" t="str">
        <f>VLOOKUP(Table13232[[#This Row],[Track]],$C$836:$E$882,2,FALSE)</f>
        <v>NSW</v>
      </c>
      <c r="K748" s="49">
        <v>100</v>
      </c>
      <c r="L748" s="45" t="str">
        <f>IF(Table13232[[#This Row],[Fin]]&lt;&gt;"1st","",Table13232[[#This Row],[Div]]*Table13232[[#This Row],[Lev Bet]])</f>
        <v/>
      </c>
      <c r="M748" s="45">
        <f>IF(Table13232[[#This Row],[Lev Ret]]="",Table13232[[#This Row],[Lev Bet]]*-1,L748-K748)</f>
        <v>-100</v>
      </c>
      <c r="N748" s="135">
        <v>150</v>
      </c>
      <c r="O748" s="135" t="str">
        <f>IF(Table13232[[#This Row],[Fin]]&lt;&gt;"1st","",Table13232[[#This Row],[Div]]*Table13232[[#This Row],[Nat and Combo Bet]])</f>
        <v/>
      </c>
      <c r="P748" s="135">
        <f>IF(Table13232[[#This Row],[Lev Ret]]="",Table13232[[#This Row],[Nat and Combo Bet]]*-1,O748-N748)</f>
        <v>-150</v>
      </c>
      <c r="Q748" s="50">
        <f t="shared" si="33"/>
        <v>1</v>
      </c>
      <c r="R748" s="50">
        <f>IF(AND(Q747=2,Q748=1),"",IF(Q748=2,(N748+N749)/2,IF(Table13232[[#This Row],[Dual Listing]]=1,Table13232[[#This Row],[Nat and Combo Bet]],11)))</f>
        <v>150</v>
      </c>
      <c r="S748" s="50" t="str">
        <f t="shared" si="34"/>
        <v/>
      </c>
      <c r="T748" s="50">
        <f t="shared" si="35"/>
        <v>-150</v>
      </c>
      <c r="U748" s="50" t="str">
        <f>IF(Table13232[[#This Row],[Date]]&lt;$U$4,"","Live")</f>
        <v>Live</v>
      </c>
      <c r="V748" s="45" t="str">
        <f>TEXT(Table13232[[#This Row],[Date]],"DDD")</f>
        <v>Sat</v>
      </c>
      <c r="W748" s="45" t="str">
        <f>PROPER(TRIM(Table13232[[#This Row],[Horse]]))</f>
        <v>Deal N' Dash</v>
      </c>
    </row>
    <row r="749" spans="1:23" x14ac:dyDescent="0.25">
      <c r="A749" s="43">
        <v>46032</v>
      </c>
      <c r="B749" s="44">
        <v>0.50347222222222221</v>
      </c>
      <c r="C749" s="44" t="s">
        <v>85</v>
      </c>
      <c r="D749" s="45">
        <v>3</v>
      </c>
      <c r="E749" s="45">
        <v>4</v>
      </c>
      <c r="F749" s="46" t="s">
        <v>589</v>
      </c>
      <c r="G749" s="46" t="s">
        <v>22</v>
      </c>
      <c r="H749" s="47"/>
      <c r="I749" s="140" t="s">
        <v>297</v>
      </c>
      <c r="J749" s="45" t="str">
        <f>VLOOKUP(Table13232[[#This Row],[Track]],$C$836:$E$882,2,FALSE)</f>
        <v>NSW</v>
      </c>
      <c r="K749" s="49">
        <v>100</v>
      </c>
      <c r="L749" s="45" t="str">
        <f>IF(Table13232[[#This Row],[Fin]]&lt;&gt;"1st","",Table13232[[#This Row],[Div]]*Table13232[[#This Row],[Lev Bet]])</f>
        <v/>
      </c>
      <c r="M749" s="45">
        <f>IF(Table13232[[#This Row],[Lev Ret]]="",Table13232[[#This Row],[Lev Bet]]*-1,L749-K749)</f>
        <v>-100</v>
      </c>
      <c r="N749" s="135">
        <v>200</v>
      </c>
      <c r="O749" s="135" t="str">
        <f>IF(Table13232[[#This Row],[Fin]]&lt;&gt;"1st","",Table13232[[#This Row],[Div]]*Table13232[[#This Row],[Nat and Combo Bet]])</f>
        <v/>
      </c>
      <c r="P749" s="135">
        <f>IF(Table13232[[#This Row],[Lev Ret]]="",Table13232[[#This Row],[Nat and Combo Bet]]*-1,O749-N749)</f>
        <v>-200</v>
      </c>
      <c r="Q749" s="50">
        <f t="shared" si="33"/>
        <v>1</v>
      </c>
      <c r="R749" s="50">
        <f>IF(AND(Q748=2,Q749=1),"",IF(Q749=2,(N749+N750)/2,IF(Table13232[[#This Row],[Dual Listing]]=1,Table13232[[#This Row],[Nat and Combo Bet]],11)))</f>
        <v>200</v>
      </c>
      <c r="S749" s="50" t="str">
        <f t="shared" si="34"/>
        <v/>
      </c>
      <c r="T749" s="50">
        <f t="shared" si="35"/>
        <v>-200</v>
      </c>
      <c r="U749" s="50" t="str">
        <f>IF(Table13232[[#This Row],[Date]]&lt;$U$4,"","Live")</f>
        <v>Live</v>
      </c>
      <c r="V749" s="45" t="str">
        <f>TEXT(Table13232[[#This Row],[Date]],"DDD")</f>
        <v>Sat</v>
      </c>
      <c r="W749" s="45" t="str">
        <f>PROPER(TRIM(Table13232[[#This Row],[Horse]]))</f>
        <v>Charleroi</v>
      </c>
    </row>
    <row r="750" spans="1:23" x14ac:dyDescent="0.25">
      <c r="A750" s="43">
        <v>46032</v>
      </c>
      <c r="B750" s="44">
        <v>0.52430555555555558</v>
      </c>
      <c r="C750" s="44" t="s">
        <v>85</v>
      </c>
      <c r="D750" s="45">
        <v>4</v>
      </c>
      <c r="E750" s="45">
        <v>6</v>
      </c>
      <c r="F750" s="46" t="s">
        <v>590</v>
      </c>
      <c r="G750" s="46"/>
      <c r="H750" s="47"/>
      <c r="I750" s="140" t="s">
        <v>297</v>
      </c>
      <c r="J750" s="45" t="str">
        <f>VLOOKUP(Table13232[[#This Row],[Track]],$C$836:$E$882,2,FALSE)</f>
        <v>NSW</v>
      </c>
      <c r="K750" s="49">
        <v>100</v>
      </c>
      <c r="L750" s="45" t="str">
        <f>IF(Table13232[[#This Row],[Fin]]&lt;&gt;"1st","",Table13232[[#This Row],[Div]]*Table13232[[#This Row],[Lev Bet]])</f>
        <v/>
      </c>
      <c r="M750" s="45">
        <f>IF(Table13232[[#This Row],[Lev Ret]]="",Table13232[[#This Row],[Lev Bet]]*-1,L750-K750)</f>
        <v>-100</v>
      </c>
      <c r="N750" s="135">
        <v>100</v>
      </c>
      <c r="O750" s="135" t="str">
        <f>IF(Table13232[[#This Row],[Fin]]&lt;&gt;"1st","",Table13232[[#This Row],[Div]]*Table13232[[#This Row],[Nat and Combo Bet]])</f>
        <v/>
      </c>
      <c r="P750" s="135">
        <f>IF(Table13232[[#This Row],[Lev Ret]]="",Table13232[[#This Row],[Nat and Combo Bet]]*-1,O750-N750)</f>
        <v>-100</v>
      </c>
      <c r="Q750" s="50">
        <f t="shared" si="33"/>
        <v>1</v>
      </c>
      <c r="R750" s="50">
        <f>IF(AND(Q749=2,Q750=1),"",IF(Q750=2,(N750+N751)/2,IF(Table13232[[#This Row],[Dual Listing]]=1,Table13232[[#This Row],[Nat and Combo Bet]],11)))</f>
        <v>100</v>
      </c>
      <c r="S750" s="50" t="str">
        <f t="shared" si="34"/>
        <v/>
      </c>
      <c r="T750" s="50">
        <f t="shared" si="35"/>
        <v>-100</v>
      </c>
      <c r="U750" s="50" t="str">
        <f>IF(Table13232[[#This Row],[Date]]&lt;$U$4,"","Live")</f>
        <v>Live</v>
      </c>
      <c r="V750" s="45" t="str">
        <f>TEXT(Table13232[[#This Row],[Date]],"DDD")</f>
        <v>Sat</v>
      </c>
      <c r="W750" s="45" t="str">
        <f>PROPER(TRIM(Table13232[[#This Row],[Horse]]))</f>
        <v>Lennox</v>
      </c>
    </row>
    <row r="751" spans="1:23" x14ac:dyDescent="0.25">
      <c r="A751" s="43">
        <v>46032</v>
      </c>
      <c r="B751" s="44">
        <v>0.53472222222222221</v>
      </c>
      <c r="C751" s="44" t="s">
        <v>591</v>
      </c>
      <c r="D751" s="45">
        <v>2</v>
      </c>
      <c r="E751" s="45">
        <v>8</v>
      </c>
      <c r="F751" s="46" t="s">
        <v>592</v>
      </c>
      <c r="G751" s="46" t="s">
        <v>23</v>
      </c>
      <c r="H751" s="47"/>
      <c r="I751" s="140" t="s">
        <v>297</v>
      </c>
      <c r="J751" s="45" t="str">
        <f>VLOOKUP(Table13232[[#This Row],[Track]],$C$836:$E$882,2,FALSE)</f>
        <v>Vic</v>
      </c>
      <c r="K751" s="49">
        <v>100</v>
      </c>
      <c r="L751" s="45" t="str">
        <f>IF(Table13232[[#This Row],[Fin]]&lt;&gt;"1st","",Table13232[[#This Row],[Div]]*Table13232[[#This Row],[Lev Bet]])</f>
        <v/>
      </c>
      <c r="M751" s="45">
        <f>IF(Table13232[[#This Row],[Lev Ret]]="",Table13232[[#This Row],[Lev Bet]]*-1,L751-K751)</f>
        <v>-100</v>
      </c>
      <c r="N751" s="135">
        <v>120</v>
      </c>
      <c r="O751" s="135" t="str">
        <f>IF(Table13232[[#This Row],[Fin]]&lt;&gt;"1st","",Table13232[[#This Row],[Div]]*Table13232[[#This Row],[Nat and Combo Bet]])</f>
        <v/>
      </c>
      <c r="P751" s="135">
        <f>IF(Table13232[[#This Row],[Lev Ret]]="",Table13232[[#This Row],[Nat and Combo Bet]]*-1,O751-N751)</f>
        <v>-120</v>
      </c>
      <c r="Q751" s="50">
        <f t="shared" si="33"/>
        <v>1</v>
      </c>
      <c r="R751" s="50">
        <f>IF(AND(Q750=2,Q751=1),"",IF(Q751=2,(N751+N752)/2,IF(Table13232[[#This Row],[Dual Listing]]=1,Table13232[[#This Row],[Nat and Combo Bet]],11)))</f>
        <v>120</v>
      </c>
      <c r="S751" s="50" t="str">
        <f t="shared" si="34"/>
        <v/>
      </c>
      <c r="T751" s="50">
        <f t="shared" si="35"/>
        <v>-120</v>
      </c>
      <c r="U751" s="50" t="str">
        <f>IF(Table13232[[#This Row],[Date]]&lt;$U$4,"","Live")</f>
        <v>Live</v>
      </c>
      <c r="V751" s="45" t="str">
        <f>TEXT(Table13232[[#This Row],[Date]],"DDD")</f>
        <v>Sat</v>
      </c>
      <c r="W751" s="45" t="str">
        <f>PROPER(TRIM(Table13232[[#This Row],[Horse]]))</f>
        <v>Trapalanda</v>
      </c>
    </row>
    <row r="752" spans="1:23" x14ac:dyDescent="0.25">
      <c r="A752" s="43">
        <v>46032</v>
      </c>
      <c r="B752" s="44">
        <v>0.54861111111111116</v>
      </c>
      <c r="C752" s="44" t="s">
        <v>85</v>
      </c>
      <c r="D752" s="45">
        <v>5</v>
      </c>
      <c r="E752" s="45">
        <v>4</v>
      </c>
      <c r="F752" s="46" t="s">
        <v>593</v>
      </c>
      <c r="G752" s="46"/>
      <c r="H752" s="47"/>
      <c r="I752" s="140" t="s">
        <v>297</v>
      </c>
      <c r="J752" s="45" t="str">
        <f>VLOOKUP(Table13232[[#This Row],[Track]],$C$836:$E$882,2,FALSE)</f>
        <v>NSW</v>
      </c>
      <c r="K752" s="49">
        <v>100</v>
      </c>
      <c r="L752" s="45" t="str">
        <f>IF(Table13232[[#This Row],[Fin]]&lt;&gt;"1st","",Table13232[[#This Row],[Div]]*Table13232[[#This Row],[Lev Bet]])</f>
        <v/>
      </c>
      <c r="M752" s="45">
        <f>IF(Table13232[[#This Row],[Lev Ret]]="",Table13232[[#This Row],[Lev Bet]]*-1,L752-K752)</f>
        <v>-100</v>
      </c>
      <c r="N752" s="135">
        <v>100</v>
      </c>
      <c r="O752" s="135" t="str">
        <f>IF(Table13232[[#This Row],[Fin]]&lt;&gt;"1st","",Table13232[[#This Row],[Div]]*Table13232[[#This Row],[Nat and Combo Bet]])</f>
        <v/>
      </c>
      <c r="P752" s="135">
        <f>IF(Table13232[[#This Row],[Lev Ret]]="",Table13232[[#This Row],[Nat and Combo Bet]]*-1,O752-N752)</f>
        <v>-100</v>
      </c>
      <c r="Q752" s="50">
        <f t="shared" si="33"/>
        <v>1</v>
      </c>
      <c r="R752" s="50">
        <f>IF(AND(Q751=2,Q752=1),"",IF(Q752=2,(N752+N753)/2,IF(Table13232[[#This Row],[Dual Listing]]=1,Table13232[[#This Row],[Nat and Combo Bet]],11)))</f>
        <v>100</v>
      </c>
      <c r="S752" s="50" t="str">
        <f t="shared" si="34"/>
        <v/>
      </c>
      <c r="T752" s="50">
        <f t="shared" si="35"/>
        <v>-100</v>
      </c>
      <c r="U752" s="50" t="str">
        <f>IF(Table13232[[#This Row],[Date]]&lt;$U$4,"","Live")</f>
        <v>Live</v>
      </c>
      <c r="V752" s="45" t="str">
        <f>TEXT(Table13232[[#This Row],[Date]],"DDD")</f>
        <v>Sat</v>
      </c>
      <c r="W752" s="45" t="str">
        <f>PROPER(TRIM(Table13232[[#This Row],[Horse]]))</f>
        <v>Hanau</v>
      </c>
    </row>
    <row r="753" spans="1:23" x14ac:dyDescent="0.25">
      <c r="A753" s="43">
        <v>46032</v>
      </c>
      <c r="B753" s="44">
        <v>0.55902777777777779</v>
      </c>
      <c r="C753" s="44" t="s">
        <v>10</v>
      </c>
      <c r="D753" s="45">
        <v>3</v>
      </c>
      <c r="E753" s="45">
        <v>6</v>
      </c>
      <c r="F753" s="46" t="s">
        <v>587</v>
      </c>
      <c r="G753" s="46" t="s">
        <v>22</v>
      </c>
      <c r="H753" s="47"/>
      <c r="I753" s="47" t="s">
        <v>298</v>
      </c>
      <c r="J753" s="45" t="str">
        <f>VLOOKUP(Table13232[[#This Row],[Track]],$C$836:$E$882,2,FALSE)</f>
        <v>Vic</v>
      </c>
      <c r="K753" s="49">
        <v>100</v>
      </c>
      <c r="L753" s="45" t="str">
        <f>IF(Table13232[[#This Row],[Fin]]&lt;&gt;"1st","",Table13232[[#This Row],[Div]]*Table13232[[#This Row],[Lev Bet]])</f>
        <v/>
      </c>
      <c r="M753" s="45">
        <f>IF(Table13232[[#This Row],[Lev Ret]]="",Table13232[[#This Row],[Lev Bet]]*-1,L753-K753)</f>
        <v>-100</v>
      </c>
      <c r="N753" s="135">
        <v>100</v>
      </c>
      <c r="O753" s="135" t="str">
        <f>IF(Table13232[[#This Row],[Fin]]&lt;&gt;"1st","",Table13232[[#This Row],[Div]]*Table13232[[#This Row],[Nat and Combo Bet]])</f>
        <v/>
      </c>
      <c r="P753" s="135">
        <f>IF(Table13232[[#This Row],[Lev Ret]]="",Table13232[[#This Row],[Nat and Combo Bet]]*-1,O753-N753)</f>
        <v>-100</v>
      </c>
      <c r="Q753" s="50">
        <f t="shared" si="33"/>
        <v>1</v>
      </c>
      <c r="R753" s="50">
        <f>IF(AND(Q752=2,Q753=1),"",IF(Q753=2,(N753+N754)/2,IF(Table13232[[#This Row],[Dual Listing]]=1,Table13232[[#This Row],[Nat and Combo Bet]],11)))</f>
        <v>100</v>
      </c>
      <c r="S753" s="50" t="str">
        <f t="shared" si="34"/>
        <v/>
      </c>
      <c r="T753" s="50">
        <f t="shared" si="35"/>
        <v>-100</v>
      </c>
      <c r="U753" s="50" t="str">
        <f>IF(Table13232[[#This Row],[Date]]&lt;$U$4,"","Live")</f>
        <v>Live</v>
      </c>
      <c r="V753" s="45" t="str">
        <f>TEXT(Table13232[[#This Row],[Date]],"DDD")</f>
        <v>Sat</v>
      </c>
      <c r="W753" s="45" t="str">
        <f>PROPER(TRIM(Table13232[[#This Row],[Horse]]))</f>
        <v>Conscience</v>
      </c>
    </row>
    <row r="754" spans="1:23" x14ac:dyDescent="0.25">
      <c r="A754" s="43">
        <v>46032</v>
      </c>
      <c r="B754" s="44">
        <v>0.58333333333333337</v>
      </c>
      <c r="C754" s="44" t="s">
        <v>591</v>
      </c>
      <c r="D754" s="45">
        <v>4</v>
      </c>
      <c r="E754" s="45">
        <v>2</v>
      </c>
      <c r="F754" s="46" t="s">
        <v>594</v>
      </c>
      <c r="G754" s="46" t="s">
        <v>22</v>
      </c>
      <c r="H754" s="47"/>
      <c r="I754" s="140" t="s">
        <v>297</v>
      </c>
      <c r="J754" s="45" t="str">
        <f>VLOOKUP(Table13232[[#This Row],[Track]],$C$836:$E$882,2,FALSE)</f>
        <v>Vic</v>
      </c>
      <c r="K754" s="49">
        <v>100</v>
      </c>
      <c r="L754" s="45" t="str">
        <f>IF(Table13232[[#This Row],[Fin]]&lt;&gt;"1st","",Table13232[[#This Row],[Div]]*Table13232[[#This Row],[Lev Bet]])</f>
        <v/>
      </c>
      <c r="M754" s="45">
        <f>IF(Table13232[[#This Row],[Lev Ret]]="",Table13232[[#This Row],[Lev Bet]]*-1,L754-K754)</f>
        <v>-100</v>
      </c>
      <c r="N754" s="135">
        <v>120</v>
      </c>
      <c r="O754" s="135" t="str">
        <f>IF(Table13232[[#This Row],[Fin]]&lt;&gt;"1st","",Table13232[[#This Row],[Div]]*Table13232[[#This Row],[Nat and Combo Bet]])</f>
        <v/>
      </c>
      <c r="P754" s="135">
        <f>IF(Table13232[[#This Row],[Lev Ret]]="",Table13232[[#This Row],[Nat and Combo Bet]]*-1,O754-N754)</f>
        <v>-120</v>
      </c>
      <c r="Q754" s="50">
        <f t="shared" si="33"/>
        <v>1</v>
      </c>
      <c r="R754" s="50">
        <f>IF(AND(Q753=2,Q754=1),"",IF(Q754=2,(N754+N755)/2,IF(Table13232[[#This Row],[Dual Listing]]=1,Table13232[[#This Row],[Nat and Combo Bet]],11)))</f>
        <v>120</v>
      </c>
      <c r="S754" s="50" t="str">
        <f t="shared" si="34"/>
        <v/>
      </c>
      <c r="T754" s="50">
        <f t="shared" si="35"/>
        <v>-120</v>
      </c>
      <c r="U754" s="50" t="str">
        <f>IF(Table13232[[#This Row],[Date]]&lt;$U$4,"","Live")</f>
        <v>Live</v>
      </c>
      <c r="V754" s="45" t="str">
        <f>TEXT(Table13232[[#This Row],[Date]],"DDD")</f>
        <v>Sat</v>
      </c>
      <c r="W754" s="45" t="str">
        <f>PROPER(TRIM(Table13232[[#This Row],[Horse]]))</f>
        <v>Suntora</v>
      </c>
    </row>
    <row r="755" spans="1:23" x14ac:dyDescent="0.25">
      <c r="A755" s="43">
        <v>46032</v>
      </c>
      <c r="B755" s="44">
        <v>0.62152777777777779</v>
      </c>
      <c r="C755" s="44" t="s">
        <v>85</v>
      </c>
      <c r="D755" s="45">
        <v>8</v>
      </c>
      <c r="E755" s="45">
        <v>4</v>
      </c>
      <c r="F755" s="46" t="s">
        <v>40</v>
      </c>
      <c r="G755" s="46" t="s">
        <v>21</v>
      </c>
      <c r="H755" s="47">
        <v>2.9</v>
      </c>
      <c r="I755" s="140" t="s">
        <v>297</v>
      </c>
      <c r="J755" s="45" t="str">
        <f>VLOOKUP(Table13232[[#This Row],[Track]],$C$836:$E$882,2,FALSE)</f>
        <v>NSW</v>
      </c>
      <c r="K755" s="49">
        <v>100</v>
      </c>
      <c r="L755" s="45">
        <f>IF(Table13232[[#This Row],[Fin]]&lt;&gt;"1st","",Table13232[[#This Row],[Div]]*Table13232[[#This Row],[Lev Bet]])</f>
        <v>290</v>
      </c>
      <c r="M755" s="45">
        <f>IF(Table13232[[#This Row],[Lev Ret]]="",Table13232[[#This Row],[Lev Bet]]*-1,L755-K755)</f>
        <v>190</v>
      </c>
      <c r="N755" s="135">
        <v>150</v>
      </c>
      <c r="O755" s="135">
        <f>IF(Table13232[[#This Row],[Fin]]&lt;&gt;"1st","",Table13232[[#This Row],[Div]]*Table13232[[#This Row],[Nat and Combo Bet]])</f>
        <v>435</v>
      </c>
      <c r="P755" s="135">
        <f>IF(Table13232[[#This Row],[Lev Ret]]="",Table13232[[#This Row],[Nat and Combo Bet]]*-1,O755-N755)</f>
        <v>285</v>
      </c>
      <c r="Q755" s="50">
        <f t="shared" si="33"/>
        <v>1</v>
      </c>
      <c r="R755" s="50">
        <f>IF(AND(Q754=2,Q755=1),"",IF(Q755=2,(N755+N756)/2,IF(Table13232[[#This Row],[Dual Listing]]=1,Table13232[[#This Row],[Nat and Combo Bet]],11)))</f>
        <v>150</v>
      </c>
      <c r="S755" s="50">
        <f t="shared" si="34"/>
        <v>435</v>
      </c>
      <c r="T755" s="50">
        <f t="shared" si="35"/>
        <v>285</v>
      </c>
      <c r="U755" s="50" t="str">
        <f>IF(Table13232[[#This Row],[Date]]&lt;$U$4,"","Live")</f>
        <v>Live</v>
      </c>
      <c r="V755" s="45" t="str">
        <f>TEXT(Table13232[[#This Row],[Date]],"DDD")</f>
        <v>Sat</v>
      </c>
      <c r="W755" s="45" t="str">
        <f>PROPER(TRIM(Table13232[[#This Row],[Horse]]))</f>
        <v>Whinchat</v>
      </c>
    </row>
    <row r="756" spans="1:23" x14ac:dyDescent="0.25">
      <c r="A756" s="43">
        <v>46032</v>
      </c>
      <c r="B756" s="44">
        <v>0.64930555555555558</v>
      </c>
      <c r="C756" s="44" t="s">
        <v>85</v>
      </c>
      <c r="D756" s="45">
        <v>9</v>
      </c>
      <c r="E756" s="45">
        <v>3</v>
      </c>
      <c r="F756" s="46" t="s">
        <v>422</v>
      </c>
      <c r="G756" s="46"/>
      <c r="H756" s="47"/>
      <c r="I756" s="140" t="s">
        <v>297</v>
      </c>
      <c r="J756" s="45" t="str">
        <f>VLOOKUP(Table13232[[#This Row],[Track]],$C$836:$E$882,2,FALSE)</f>
        <v>NSW</v>
      </c>
      <c r="K756" s="49">
        <v>100</v>
      </c>
      <c r="L756" s="45" t="str">
        <f>IF(Table13232[[#This Row],[Fin]]&lt;&gt;"1st","",Table13232[[#This Row],[Div]]*Table13232[[#This Row],[Lev Bet]])</f>
        <v/>
      </c>
      <c r="M756" s="45">
        <f>IF(Table13232[[#This Row],[Lev Ret]]="",Table13232[[#This Row],[Lev Bet]]*-1,L756-K756)</f>
        <v>-100</v>
      </c>
      <c r="N756" s="135">
        <v>150</v>
      </c>
      <c r="O756" s="135" t="str">
        <f>IF(Table13232[[#This Row],[Fin]]&lt;&gt;"1st","",Table13232[[#This Row],[Div]]*Table13232[[#This Row],[Nat and Combo Bet]])</f>
        <v/>
      </c>
      <c r="P756" s="135">
        <f>IF(Table13232[[#This Row],[Lev Ret]]="",Table13232[[#This Row],[Nat and Combo Bet]]*-1,O756-N756)</f>
        <v>-150</v>
      </c>
      <c r="Q756" s="50">
        <f t="shared" si="33"/>
        <v>1</v>
      </c>
      <c r="R756" s="50">
        <f>IF(AND(Q755=2,Q756=1),"",IF(Q756=2,(N756+N757)/2,IF(Table13232[[#This Row],[Dual Listing]]=1,Table13232[[#This Row],[Nat and Combo Bet]],11)))</f>
        <v>150</v>
      </c>
      <c r="S756" s="50" t="str">
        <f t="shared" si="34"/>
        <v/>
      </c>
      <c r="T756" s="50">
        <f t="shared" si="35"/>
        <v>-150</v>
      </c>
      <c r="U756" s="50" t="str">
        <f>IF(Table13232[[#This Row],[Date]]&lt;$U$4,"","Live")</f>
        <v>Live</v>
      </c>
      <c r="V756" s="45" t="str">
        <f>TEXT(Table13232[[#This Row],[Date]],"DDD")</f>
        <v>Sat</v>
      </c>
      <c r="W756" s="45" t="str">
        <f>PROPER(TRIM(Table13232[[#This Row],[Horse]]))</f>
        <v>Know Thyself</v>
      </c>
    </row>
    <row r="757" spans="1:23" x14ac:dyDescent="0.25">
      <c r="A757" s="43">
        <v>46032</v>
      </c>
      <c r="B757" s="44">
        <v>0.66319444444444442</v>
      </c>
      <c r="C757" s="44" t="s">
        <v>10</v>
      </c>
      <c r="D757" s="45">
        <v>7</v>
      </c>
      <c r="E757" s="45">
        <v>10</v>
      </c>
      <c r="F757" s="46" t="s">
        <v>588</v>
      </c>
      <c r="G757" s="46" t="s">
        <v>21</v>
      </c>
      <c r="H757" s="47">
        <v>12</v>
      </c>
      <c r="I757" s="47" t="s">
        <v>298</v>
      </c>
      <c r="J757" s="45" t="str">
        <f>VLOOKUP(Table13232[[#This Row],[Track]],$C$836:$E$882,2,FALSE)</f>
        <v>Vic</v>
      </c>
      <c r="K757" s="49">
        <v>100</v>
      </c>
      <c r="L757" s="45">
        <f>IF(Table13232[[#This Row],[Fin]]&lt;&gt;"1st","",Table13232[[#This Row],[Div]]*Table13232[[#This Row],[Lev Bet]])</f>
        <v>1200</v>
      </c>
      <c r="M757" s="45">
        <f>IF(Table13232[[#This Row],[Lev Ret]]="",Table13232[[#This Row],[Lev Bet]]*-1,L757-K757)</f>
        <v>1100</v>
      </c>
      <c r="N757" s="135">
        <v>100</v>
      </c>
      <c r="O757" s="135">
        <f>IF(Table13232[[#This Row],[Fin]]&lt;&gt;"1st","",Table13232[[#This Row],[Div]]*Table13232[[#This Row],[Nat and Combo Bet]])</f>
        <v>1200</v>
      </c>
      <c r="P757" s="135">
        <f>IF(Table13232[[#This Row],[Lev Ret]]="",Table13232[[#This Row],[Nat and Combo Bet]]*-1,O757-N757)</f>
        <v>1100</v>
      </c>
      <c r="Q757" s="50">
        <f t="shared" si="33"/>
        <v>1</v>
      </c>
      <c r="R757" s="50">
        <f>IF(AND(Q756=2,Q757=1),"",IF(Q757=2,(N757+N758)/2,IF(Table13232[[#This Row],[Dual Listing]]=1,Table13232[[#This Row],[Nat and Combo Bet]],11)))</f>
        <v>100</v>
      </c>
      <c r="S757" s="50">
        <f t="shared" si="34"/>
        <v>1200</v>
      </c>
      <c r="T757" s="50">
        <f t="shared" si="35"/>
        <v>1100</v>
      </c>
      <c r="U757" s="50" t="str">
        <f>IF(Table13232[[#This Row],[Date]]&lt;$U$4,"","Live")</f>
        <v>Live</v>
      </c>
      <c r="V757" s="45" t="str">
        <f>TEXT(Table13232[[#This Row],[Date]],"DDD")</f>
        <v>Sat</v>
      </c>
      <c r="W757" s="45" t="str">
        <f>PROPER(TRIM(Table13232[[#This Row],[Horse]]))</f>
        <v>Welcometotheshow</v>
      </c>
    </row>
    <row r="758" spans="1:23" x14ac:dyDescent="0.25">
      <c r="A758" s="43">
        <v>46032</v>
      </c>
      <c r="B758" s="44">
        <v>0.67708333333333337</v>
      </c>
      <c r="C758" s="44" t="s">
        <v>85</v>
      </c>
      <c r="D758" s="45">
        <v>10</v>
      </c>
      <c r="E758" s="45">
        <v>7</v>
      </c>
      <c r="F758" s="46" t="s">
        <v>595</v>
      </c>
      <c r="G758" s="46" t="s">
        <v>21</v>
      </c>
      <c r="H758" s="47">
        <v>3.2</v>
      </c>
      <c r="I758" s="140" t="s">
        <v>297</v>
      </c>
      <c r="J758" s="45" t="str">
        <f>VLOOKUP(Table13232[[#This Row],[Track]],$C$836:$E$882,2,FALSE)</f>
        <v>NSW</v>
      </c>
      <c r="K758" s="49">
        <v>100</v>
      </c>
      <c r="L758" s="45">
        <f>IF(Table13232[[#This Row],[Fin]]&lt;&gt;"1st","",Table13232[[#This Row],[Div]]*Table13232[[#This Row],[Lev Bet]])</f>
        <v>320</v>
      </c>
      <c r="M758" s="45">
        <f>IF(Table13232[[#This Row],[Lev Ret]]="",Table13232[[#This Row],[Lev Bet]]*-1,L758-K758)</f>
        <v>220</v>
      </c>
      <c r="N758" s="135">
        <v>150</v>
      </c>
      <c r="O758" s="135">
        <f>IF(Table13232[[#This Row],[Fin]]&lt;&gt;"1st","",Table13232[[#This Row],[Div]]*Table13232[[#This Row],[Nat and Combo Bet]])</f>
        <v>480</v>
      </c>
      <c r="P758" s="135">
        <f>IF(Table13232[[#This Row],[Lev Ret]]="",Table13232[[#This Row],[Nat and Combo Bet]]*-1,O758-N758)</f>
        <v>330</v>
      </c>
      <c r="Q758" s="50">
        <f t="shared" si="33"/>
        <v>1</v>
      </c>
      <c r="R758" s="50">
        <f>IF(AND(Q757=2,Q758=1),"",IF(Q758=2,(N758+N759)/2,IF(Table13232[[#This Row],[Dual Listing]]=1,Table13232[[#This Row],[Nat and Combo Bet]],11)))</f>
        <v>150</v>
      </c>
      <c r="S758" s="50">
        <f t="shared" si="34"/>
        <v>480</v>
      </c>
      <c r="T758" s="50">
        <f t="shared" si="35"/>
        <v>330</v>
      </c>
      <c r="U758" s="50" t="str">
        <f>IF(Table13232[[#This Row],[Date]]&lt;$U$4,"","Live")</f>
        <v>Live</v>
      </c>
      <c r="V758" s="45" t="str">
        <f>TEXT(Table13232[[#This Row],[Date]],"DDD")</f>
        <v>Sat</v>
      </c>
      <c r="W758" s="45" t="str">
        <f>PROPER(TRIM(Table13232[[#This Row],[Horse]]))</f>
        <v>Althoff</v>
      </c>
    </row>
    <row r="759" spans="1:23" x14ac:dyDescent="0.25">
      <c r="A759" s="43">
        <v>46032</v>
      </c>
      <c r="B759" s="44">
        <v>0.69097222222222221</v>
      </c>
      <c r="C759" s="44" t="s">
        <v>591</v>
      </c>
      <c r="D759" s="45">
        <v>8</v>
      </c>
      <c r="E759" s="45">
        <v>5</v>
      </c>
      <c r="F759" s="46" t="s">
        <v>312</v>
      </c>
      <c r="G759" s="46"/>
      <c r="H759" s="47"/>
      <c r="I759" s="140" t="s">
        <v>297</v>
      </c>
      <c r="J759" s="45" t="str">
        <f>VLOOKUP(Table13232[[#This Row],[Track]],$C$836:$E$882,2,FALSE)</f>
        <v>Vic</v>
      </c>
      <c r="K759" s="49">
        <v>100</v>
      </c>
      <c r="L759" s="45" t="str">
        <f>IF(Table13232[[#This Row],[Fin]]&lt;&gt;"1st","",Table13232[[#This Row],[Div]]*Table13232[[#This Row],[Lev Bet]])</f>
        <v/>
      </c>
      <c r="M759" s="45">
        <f>IF(Table13232[[#This Row],[Lev Ret]]="",Table13232[[#This Row],[Lev Bet]]*-1,L759-K759)</f>
        <v>-100</v>
      </c>
      <c r="N759" s="135">
        <v>100</v>
      </c>
      <c r="O759" s="135" t="str">
        <f>IF(Table13232[[#This Row],[Fin]]&lt;&gt;"1st","",Table13232[[#This Row],[Div]]*Table13232[[#This Row],[Nat and Combo Bet]])</f>
        <v/>
      </c>
      <c r="P759" s="135">
        <f>IF(Table13232[[#This Row],[Lev Ret]]="",Table13232[[#This Row],[Nat and Combo Bet]]*-1,O759-N759)</f>
        <v>-100</v>
      </c>
      <c r="Q759" s="50">
        <f t="shared" si="33"/>
        <v>1</v>
      </c>
      <c r="R759" s="50">
        <f>IF(AND(Q758=2,Q759=1),"",IF(Q759=2,(N759+N760)/2,IF(Table13232[[#This Row],[Dual Listing]]=1,Table13232[[#This Row],[Nat and Combo Bet]],11)))</f>
        <v>100</v>
      </c>
      <c r="S759" s="50" t="str">
        <f t="shared" si="34"/>
        <v/>
      </c>
      <c r="T759" s="50">
        <f t="shared" si="35"/>
        <v>-100</v>
      </c>
      <c r="U759" s="50" t="str">
        <f>IF(Table13232[[#This Row],[Date]]&lt;$U$4,"","Live")</f>
        <v>Live</v>
      </c>
      <c r="V759" s="45" t="str">
        <f>TEXT(Table13232[[#This Row],[Date]],"DDD")</f>
        <v>Sat</v>
      </c>
      <c r="W759" s="45" t="str">
        <f>PROPER(TRIM(Table13232[[#This Row],[Horse]]))</f>
        <v>Hedged</v>
      </c>
    </row>
    <row r="760" spans="1:23" x14ac:dyDescent="0.25">
      <c r="A760" s="43">
        <v>46032</v>
      </c>
      <c r="B760" s="44">
        <v>0.69097222222222221</v>
      </c>
      <c r="C760" s="44" t="s">
        <v>591</v>
      </c>
      <c r="D760" s="45">
        <v>8</v>
      </c>
      <c r="E760" s="45">
        <v>2</v>
      </c>
      <c r="F760" s="46" t="s">
        <v>612</v>
      </c>
      <c r="G760" s="46"/>
      <c r="H760" s="47"/>
      <c r="I760" s="140" t="s">
        <v>297</v>
      </c>
      <c r="J760" s="45" t="str">
        <f>VLOOKUP(Table13232[[#This Row],[Track]],$C$836:$E$882,2,FALSE)</f>
        <v>Vic</v>
      </c>
      <c r="K760" s="49">
        <v>100</v>
      </c>
      <c r="L760" s="45" t="str">
        <f>IF(Table13232[[#This Row],[Fin]]&lt;&gt;"1st","",Table13232[[#This Row],[Div]]*Table13232[[#This Row],[Lev Bet]])</f>
        <v/>
      </c>
      <c r="M760" s="45">
        <f>IF(Table13232[[#This Row],[Lev Ret]]="",Table13232[[#This Row],[Lev Bet]]*-1,L760-K760)</f>
        <v>-100</v>
      </c>
      <c r="N760" s="135">
        <v>50</v>
      </c>
      <c r="O760" s="135" t="str">
        <f>IF(Table13232[[#This Row],[Fin]]&lt;&gt;"1st","",Table13232[[#This Row],[Div]]*Table13232[[#This Row],[Nat and Combo Bet]])</f>
        <v/>
      </c>
      <c r="P760" s="135">
        <f>IF(Table13232[[#This Row],[Lev Ret]]="",Table13232[[#This Row],[Nat and Combo Bet]]*-1,O760-N760)</f>
        <v>-50</v>
      </c>
      <c r="Q760" s="50">
        <f t="shared" si="33"/>
        <v>1</v>
      </c>
      <c r="R760" s="50">
        <f>IF(AND(Q759=2,Q760=1),"",IF(Q760=2,(N760+N761)/2,IF(Table13232[[#This Row],[Dual Listing]]=1,Table13232[[#This Row],[Nat and Combo Bet]],11)))</f>
        <v>50</v>
      </c>
      <c r="S760" s="50" t="str">
        <f t="shared" si="34"/>
        <v/>
      </c>
      <c r="T760" s="50">
        <f t="shared" si="35"/>
        <v>-50</v>
      </c>
      <c r="U760" s="50" t="str">
        <f>IF(Table13232[[#This Row],[Date]]&lt;$U$4,"","Live")</f>
        <v>Live</v>
      </c>
      <c r="V760" s="45" t="str">
        <f>TEXT(Table13232[[#This Row],[Date]],"DDD")</f>
        <v>Sat</v>
      </c>
      <c r="W760" s="45" t="str">
        <f>PROPER(TRIM(Table13232[[#This Row],[Horse]]))</f>
        <v>Lim'S Kosciuszko</v>
      </c>
    </row>
    <row r="761" spans="1:23" x14ac:dyDescent="0.25">
      <c r="A761" s="43">
        <v>46039</v>
      </c>
      <c r="B761" s="44">
        <v>0.53472222222222221</v>
      </c>
      <c r="C761" s="44" t="s">
        <v>591</v>
      </c>
      <c r="D761" s="45">
        <v>2</v>
      </c>
      <c r="E761" s="45">
        <v>6</v>
      </c>
      <c r="F761" s="46" t="s">
        <v>599</v>
      </c>
      <c r="G761" s="46" t="s">
        <v>23</v>
      </c>
      <c r="H761" s="47">
        <v>5.5</v>
      </c>
      <c r="I761" s="140" t="s">
        <v>297</v>
      </c>
      <c r="J761" s="45" t="str">
        <f>VLOOKUP(Table13232[[#This Row],[Track]],$C$836:$E$882,2,FALSE)</f>
        <v>Vic</v>
      </c>
      <c r="K761" s="49">
        <v>100</v>
      </c>
      <c r="L761" s="45" t="str">
        <f>IF(Table13232[[#This Row],[Fin]]&lt;&gt;"1st","",Table13232[[#This Row],[Div]]*Table13232[[#This Row],[Lev Bet]])</f>
        <v/>
      </c>
      <c r="M761" s="45">
        <f>IF(Table13232[[#This Row],[Lev Ret]]="",Table13232[[#This Row],[Lev Bet]]*-1,L761-K761)</f>
        <v>-100</v>
      </c>
      <c r="N761" s="135">
        <v>150</v>
      </c>
      <c r="O761" s="135" t="str">
        <f>IF(Table13232[[#This Row],[Fin]]&lt;&gt;"1st","",Table13232[[#This Row],[Div]]*Table13232[[#This Row],[Nat and Combo Bet]])</f>
        <v/>
      </c>
      <c r="P761" s="135">
        <f>IF(Table13232[[#This Row],[Lev Ret]]="",Table13232[[#This Row],[Nat and Combo Bet]]*-1,O761-N761)</f>
        <v>-150</v>
      </c>
      <c r="Q761" s="50">
        <f t="shared" si="33"/>
        <v>1</v>
      </c>
      <c r="R761" s="50">
        <f>IF(AND(Q760=2,Q761=1),"",IF(Q761=2,(N761+N762)/2,IF(Table13232[[#This Row],[Dual Listing]]=1,Table13232[[#This Row],[Nat and Combo Bet]],11)))</f>
        <v>150</v>
      </c>
      <c r="S761" s="50" t="str">
        <f t="shared" si="34"/>
        <v/>
      </c>
      <c r="T761" s="50">
        <f t="shared" si="35"/>
        <v>-150</v>
      </c>
      <c r="U761" s="50" t="str">
        <f>IF(Table13232[[#This Row],[Date]]&lt;$U$4,"","Live")</f>
        <v>Live</v>
      </c>
      <c r="V761" s="45" t="str">
        <f>TEXT(Table13232[[#This Row],[Date]],"DDD")</f>
        <v>Sat</v>
      </c>
      <c r="W761" s="45" t="str">
        <f>PROPER(TRIM(Table13232[[#This Row],[Horse]]))</f>
        <v>Tarvue</v>
      </c>
    </row>
    <row r="762" spans="1:23" x14ac:dyDescent="0.25">
      <c r="A762" s="43">
        <v>46039</v>
      </c>
      <c r="B762" s="44">
        <v>0.58194444444444449</v>
      </c>
      <c r="C762" s="44" t="s">
        <v>10</v>
      </c>
      <c r="D762" s="45">
        <v>4</v>
      </c>
      <c r="E762" s="45">
        <v>14</v>
      </c>
      <c r="F762" s="46" t="s">
        <v>610</v>
      </c>
      <c r="G762" s="46" t="s">
        <v>22</v>
      </c>
      <c r="H762" s="47"/>
      <c r="I762" s="47" t="s">
        <v>298</v>
      </c>
      <c r="J762" s="45" t="str">
        <f>VLOOKUP(Table13232[[#This Row],[Track]],$C$836:$E$882,2,FALSE)</f>
        <v>Vic</v>
      </c>
      <c r="K762" s="49">
        <v>100</v>
      </c>
      <c r="L762" s="45" t="str">
        <f>IF(Table13232[[#This Row],[Fin]]&lt;&gt;"1st","",Table13232[[#This Row],[Div]]*Table13232[[#This Row],[Lev Bet]])</f>
        <v/>
      </c>
      <c r="M762" s="45">
        <f>IF(Table13232[[#This Row],[Lev Ret]]="",Table13232[[#This Row],[Lev Bet]]*-1,L762-K762)</f>
        <v>-100</v>
      </c>
      <c r="N762" s="135">
        <v>100</v>
      </c>
      <c r="O762" s="135" t="str">
        <f>IF(Table13232[[#This Row],[Fin]]&lt;&gt;"1st","",Table13232[[#This Row],[Div]]*Table13232[[#This Row],[Nat and Combo Bet]])</f>
        <v/>
      </c>
      <c r="P762" s="135">
        <f>IF(Table13232[[#This Row],[Lev Ret]]="",Table13232[[#This Row],[Nat and Combo Bet]]*-1,O762-N762)</f>
        <v>-100</v>
      </c>
      <c r="Q762" s="50">
        <f t="shared" si="33"/>
        <v>1</v>
      </c>
      <c r="R762" s="50">
        <f>IF(AND(Q761=2,Q762=1),"",IF(Q762=2,(N762+N763)/2,IF(Table13232[[#This Row],[Dual Listing]]=1,Table13232[[#This Row],[Nat and Combo Bet]],11)))</f>
        <v>100</v>
      </c>
      <c r="S762" s="50" t="str">
        <f t="shared" si="34"/>
        <v/>
      </c>
      <c r="T762" s="50">
        <f t="shared" si="35"/>
        <v>-100</v>
      </c>
      <c r="U762" s="50" t="str">
        <f>IF(Table13232[[#This Row],[Date]]&lt;$U$4,"","Live")</f>
        <v>Live</v>
      </c>
      <c r="V762" s="45" t="str">
        <f>TEXT(Table13232[[#This Row],[Date]],"DDD")</f>
        <v>Sat</v>
      </c>
      <c r="W762" s="45" t="str">
        <f>PROPER(TRIM(Table13232[[#This Row],[Horse]]))</f>
        <v>Yes I Know</v>
      </c>
    </row>
    <row r="763" spans="1:23" x14ac:dyDescent="0.25">
      <c r="A763" s="43">
        <v>46039</v>
      </c>
      <c r="B763" s="44">
        <v>0.63055555555555554</v>
      </c>
      <c r="C763" s="44" t="s">
        <v>591</v>
      </c>
      <c r="D763" s="45">
        <v>6</v>
      </c>
      <c r="E763" s="45">
        <v>2</v>
      </c>
      <c r="F763" s="46" t="s">
        <v>535</v>
      </c>
      <c r="G763" s="46"/>
      <c r="H763" s="47"/>
      <c r="I763" s="140" t="s">
        <v>297</v>
      </c>
      <c r="J763" s="45" t="str">
        <f>VLOOKUP(Table13232[[#This Row],[Track]],$C$836:$E$882,2,FALSE)</f>
        <v>Vic</v>
      </c>
      <c r="K763" s="49">
        <v>100</v>
      </c>
      <c r="L763" s="45" t="str">
        <f>IF(Table13232[[#This Row],[Fin]]&lt;&gt;"1st","",Table13232[[#This Row],[Div]]*Table13232[[#This Row],[Lev Bet]])</f>
        <v/>
      </c>
      <c r="M763" s="45">
        <f>IF(Table13232[[#This Row],[Lev Ret]]="",Table13232[[#This Row],[Lev Bet]]*-1,L763-K763)</f>
        <v>-100</v>
      </c>
      <c r="N763" s="135">
        <v>150</v>
      </c>
      <c r="O763" s="135" t="str">
        <f>IF(Table13232[[#This Row],[Fin]]&lt;&gt;"1st","",Table13232[[#This Row],[Div]]*Table13232[[#This Row],[Nat and Combo Bet]])</f>
        <v/>
      </c>
      <c r="P763" s="135">
        <f>IF(Table13232[[#This Row],[Lev Ret]]="",Table13232[[#This Row],[Nat and Combo Bet]]*-1,O763-N763)</f>
        <v>-150</v>
      </c>
      <c r="Q763" s="50">
        <f t="shared" si="33"/>
        <v>1</v>
      </c>
      <c r="R763" s="50">
        <f>IF(AND(Q762=2,Q763=1),"",IF(Q763=2,(N763+N764)/2,IF(Table13232[[#This Row],[Dual Listing]]=1,Table13232[[#This Row],[Nat and Combo Bet]],11)))</f>
        <v>150</v>
      </c>
      <c r="S763" s="50" t="str">
        <f t="shared" si="34"/>
        <v/>
      </c>
      <c r="T763" s="50">
        <f t="shared" si="35"/>
        <v>-150</v>
      </c>
      <c r="U763" s="50" t="str">
        <f>IF(Table13232[[#This Row],[Date]]&lt;$U$4,"","Live")</f>
        <v>Live</v>
      </c>
      <c r="V763" s="45" t="str">
        <f>TEXT(Table13232[[#This Row],[Date]],"DDD")</f>
        <v>Sat</v>
      </c>
      <c r="W763" s="45" t="str">
        <f>PROPER(TRIM(Table13232[[#This Row],[Horse]]))</f>
        <v>Harry'S Yacht</v>
      </c>
    </row>
    <row r="764" spans="1:23" x14ac:dyDescent="0.25">
      <c r="A764" s="43">
        <v>46039</v>
      </c>
      <c r="B764" s="44">
        <v>0.65486111111111112</v>
      </c>
      <c r="C764" s="44" t="s">
        <v>10</v>
      </c>
      <c r="D764" s="45">
        <v>7</v>
      </c>
      <c r="E764" s="45">
        <v>6</v>
      </c>
      <c r="F764" s="46" t="s">
        <v>611</v>
      </c>
      <c r="G764" s="46"/>
      <c r="H764" s="47"/>
      <c r="I764" s="47" t="s">
        <v>298</v>
      </c>
      <c r="J764" s="45" t="str">
        <f>VLOOKUP(Table13232[[#This Row],[Track]],$C$836:$E$882,2,FALSE)</f>
        <v>Vic</v>
      </c>
      <c r="K764" s="49">
        <v>100</v>
      </c>
      <c r="L764" s="45" t="str">
        <f>IF(Table13232[[#This Row],[Fin]]&lt;&gt;"1st","",Table13232[[#This Row],[Div]]*Table13232[[#This Row],[Lev Bet]])</f>
        <v/>
      </c>
      <c r="M764" s="45">
        <f>IF(Table13232[[#This Row],[Lev Ret]]="",Table13232[[#This Row],[Lev Bet]]*-1,L764-K764)</f>
        <v>-100</v>
      </c>
      <c r="N764" s="135">
        <v>100</v>
      </c>
      <c r="O764" s="135" t="str">
        <f>IF(Table13232[[#This Row],[Fin]]&lt;&gt;"1st","",Table13232[[#This Row],[Div]]*Table13232[[#This Row],[Nat and Combo Bet]])</f>
        <v/>
      </c>
      <c r="P764" s="135">
        <f>IF(Table13232[[#This Row],[Lev Ret]]="",Table13232[[#This Row],[Nat and Combo Bet]]*-1,O764-N764)</f>
        <v>-100</v>
      </c>
      <c r="Q764" s="50">
        <f t="shared" si="33"/>
        <v>1</v>
      </c>
      <c r="R764" s="50">
        <f>IF(AND(Q763=2,Q764=1),"",IF(Q764=2,(N764+N765)/2,IF(Table13232[[#This Row],[Dual Listing]]=1,Table13232[[#This Row],[Nat and Combo Bet]],11)))</f>
        <v>100</v>
      </c>
      <c r="S764" s="50" t="str">
        <f t="shared" si="34"/>
        <v/>
      </c>
      <c r="T764" s="50">
        <f t="shared" si="35"/>
        <v>-100</v>
      </c>
      <c r="U764" s="50" t="str">
        <f>IF(Table13232[[#This Row],[Date]]&lt;$U$4,"","Live")</f>
        <v>Live</v>
      </c>
      <c r="V764" s="45" t="str">
        <f>TEXT(Table13232[[#This Row],[Date]],"DDD")</f>
        <v>Sat</v>
      </c>
      <c r="W764" s="45" t="str">
        <f>PROPER(TRIM(Table13232[[#This Row],[Horse]]))</f>
        <v>Dirty Grin</v>
      </c>
    </row>
    <row r="765" spans="1:23" x14ac:dyDescent="0.25">
      <c r="A765" s="43">
        <v>46039</v>
      </c>
      <c r="B765" s="44">
        <v>0.6791666666666667</v>
      </c>
      <c r="C765" s="44" t="s">
        <v>591</v>
      </c>
      <c r="D765" s="45">
        <v>8</v>
      </c>
      <c r="E765" s="45">
        <v>12</v>
      </c>
      <c r="F765" s="46" t="s">
        <v>600</v>
      </c>
      <c r="G765" s="46" t="s">
        <v>22</v>
      </c>
      <c r="H765" s="47"/>
      <c r="I765" s="140" t="s">
        <v>297</v>
      </c>
      <c r="J765" s="45" t="str">
        <f>VLOOKUP(Table13232[[#This Row],[Track]],$C$836:$E$882,2,FALSE)</f>
        <v>Vic</v>
      </c>
      <c r="K765" s="49">
        <v>100</v>
      </c>
      <c r="L765" s="45" t="str">
        <f>IF(Table13232[[#This Row],[Fin]]&lt;&gt;"1st","",Table13232[[#This Row],[Div]]*Table13232[[#This Row],[Lev Bet]])</f>
        <v/>
      </c>
      <c r="M765" s="45">
        <f>IF(Table13232[[#This Row],[Lev Ret]]="",Table13232[[#This Row],[Lev Bet]]*-1,L765-K765)</f>
        <v>-100</v>
      </c>
      <c r="N765" s="135">
        <v>100</v>
      </c>
      <c r="O765" s="135" t="str">
        <f>IF(Table13232[[#This Row],[Fin]]&lt;&gt;"1st","",Table13232[[#This Row],[Div]]*Table13232[[#This Row],[Nat and Combo Bet]])</f>
        <v/>
      </c>
      <c r="P765" s="135">
        <f>IF(Table13232[[#This Row],[Lev Ret]]="",Table13232[[#This Row],[Nat and Combo Bet]]*-1,O765-N765)</f>
        <v>-100</v>
      </c>
      <c r="Q765" s="50">
        <f t="shared" si="33"/>
        <v>1</v>
      </c>
      <c r="R765" s="50">
        <f>IF(AND(Q764=2,Q765=1),"",IF(Q765=2,(N765+N766)/2,IF(Table13232[[#This Row],[Dual Listing]]=1,Table13232[[#This Row],[Nat and Combo Bet]],11)))</f>
        <v>100</v>
      </c>
      <c r="S765" s="50" t="str">
        <f t="shared" si="34"/>
        <v/>
      </c>
      <c r="T765" s="50">
        <f t="shared" si="35"/>
        <v>-100</v>
      </c>
      <c r="U765" s="50" t="str">
        <f>IF(Table13232[[#This Row],[Date]]&lt;$U$4,"","Live")</f>
        <v>Live</v>
      </c>
      <c r="V765" s="45" t="str">
        <f>TEXT(Table13232[[#This Row],[Date]],"DDD")</f>
        <v>Sat</v>
      </c>
      <c r="W765" s="45" t="str">
        <f>PROPER(TRIM(Table13232[[#This Row],[Horse]]))</f>
        <v>Darkbonee</v>
      </c>
    </row>
    <row r="766" spans="1:23" x14ac:dyDescent="0.25">
      <c r="A766" s="43">
        <v>46039</v>
      </c>
      <c r="B766" s="44">
        <v>0.6791666666666667</v>
      </c>
      <c r="C766" s="44" t="s">
        <v>591</v>
      </c>
      <c r="D766" s="45">
        <v>8</v>
      </c>
      <c r="E766" s="45">
        <v>2</v>
      </c>
      <c r="F766" s="46" t="s">
        <v>601</v>
      </c>
      <c r="G766" s="46" t="s">
        <v>21</v>
      </c>
      <c r="H766" s="47">
        <v>2.5</v>
      </c>
      <c r="I766" s="140" t="s">
        <v>297</v>
      </c>
      <c r="J766" s="45" t="str">
        <f>VLOOKUP(Table13232[[#This Row],[Track]],$C$836:$E$882,2,FALSE)</f>
        <v>Vic</v>
      </c>
      <c r="K766" s="49">
        <v>100</v>
      </c>
      <c r="L766" s="45">
        <f>IF(Table13232[[#This Row],[Fin]]&lt;&gt;"1st","",Table13232[[#This Row],[Div]]*Table13232[[#This Row],[Lev Bet]])</f>
        <v>250</v>
      </c>
      <c r="M766" s="45">
        <f>IF(Table13232[[#This Row],[Lev Ret]]="",Table13232[[#This Row],[Lev Bet]]*-1,L766-K766)</f>
        <v>150</v>
      </c>
      <c r="N766" s="135">
        <v>100</v>
      </c>
      <c r="O766" s="135">
        <f>IF(Table13232[[#This Row],[Fin]]&lt;&gt;"1st","",Table13232[[#This Row],[Div]]*Table13232[[#This Row],[Nat and Combo Bet]])</f>
        <v>250</v>
      </c>
      <c r="P766" s="135">
        <f>IF(Table13232[[#This Row],[Lev Ret]]="",Table13232[[#This Row],[Nat and Combo Bet]]*-1,O766-N766)</f>
        <v>150</v>
      </c>
      <c r="Q766" s="50">
        <f t="shared" si="33"/>
        <v>1</v>
      </c>
      <c r="R766" s="50">
        <f>IF(AND(Q765=2,Q766=1),"",IF(Q766=2,(N766+N767)/2,IF(Table13232[[#This Row],[Dual Listing]]=1,Table13232[[#This Row],[Nat and Combo Bet]],11)))</f>
        <v>100</v>
      </c>
      <c r="S766" s="50">
        <f t="shared" si="34"/>
        <v>250</v>
      </c>
      <c r="T766" s="50">
        <f t="shared" si="35"/>
        <v>150</v>
      </c>
      <c r="U766" s="50" t="str">
        <f>IF(Table13232[[#This Row],[Date]]&lt;$U$4,"","Live")</f>
        <v>Live</v>
      </c>
      <c r="V766" s="45" t="str">
        <f>TEXT(Table13232[[#This Row],[Date]],"DDD")</f>
        <v>Sat</v>
      </c>
      <c r="W766" s="45" t="str">
        <f>PROPER(TRIM(Table13232[[#This Row],[Horse]]))</f>
        <v>Saint George</v>
      </c>
    </row>
    <row r="767" spans="1:23" x14ac:dyDescent="0.25">
      <c r="A767" s="109">
        <v>46039</v>
      </c>
      <c r="B767" s="53">
        <v>0.70694444444444449</v>
      </c>
      <c r="C767" s="110" t="s">
        <v>10</v>
      </c>
      <c r="D767" s="111">
        <v>9</v>
      </c>
      <c r="E767" s="111">
        <v>14</v>
      </c>
      <c r="F767" s="112" t="s">
        <v>602</v>
      </c>
      <c r="G767" s="112"/>
      <c r="H767" s="113"/>
      <c r="I767" s="140" t="s">
        <v>297</v>
      </c>
      <c r="J767" s="45" t="str">
        <f>VLOOKUP(Table13232[[#This Row],[Track]],$C$836:$E$882,2,FALSE)</f>
        <v>Vic</v>
      </c>
      <c r="K767" s="49">
        <v>100</v>
      </c>
      <c r="L767" s="45" t="str">
        <f>IF(Table13232[[#This Row],[Fin]]&lt;&gt;"1st","",Table13232[[#This Row],[Div]]*Table13232[[#This Row],[Lev Bet]])</f>
        <v/>
      </c>
      <c r="M767" s="45">
        <f>IF(Table13232[[#This Row],[Lev Ret]]="",Table13232[[#This Row],[Lev Bet]]*-1,L767-K767)</f>
        <v>-100</v>
      </c>
      <c r="N767" s="135">
        <v>120</v>
      </c>
      <c r="O767" s="135" t="str">
        <f>IF(Table13232[[#This Row],[Fin]]&lt;&gt;"1st","",Table13232[[#This Row],[Div]]*Table13232[[#This Row],[Nat and Combo Bet]])</f>
        <v/>
      </c>
      <c r="P767" s="135">
        <f>IF(Table13232[[#This Row],[Lev Ret]]="",Table13232[[#This Row],[Nat and Combo Bet]]*-1,O767-N767)</f>
        <v>-120</v>
      </c>
      <c r="Q767" s="50">
        <f t="shared" si="33"/>
        <v>2</v>
      </c>
      <c r="R767" s="50">
        <f>IF(AND(Q766=2,Q767=1),"",IF(Q767=2,(N767+N768)/2,IF(Table13232[[#This Row],[Dual Listing]]=1,Table13232[[#This Row],[Nat and Combo Bet]],11)))</f>
        <v>120</v>
      </c>
      <c r="S767" s="50" t="str">
        <f t="shared" si="34"/>
        <v/>
      </c>
      <c r="T767" s="50">
        <f t="shared" si="35"/>
        <v>-120</v>
      </c>
      <c r="U767" s="50" t="str">
        <f>IF(Table13232[[#This Row],[Date]]&lt;$U$4,"","Live")</f>
        <v>Live</v>
      </c>
      <c r="V767" s="45" t="str">
        <f>TEXT(Table13232[[#This Row],[Date]],"DDD")</f>
        <v>Sat</v>
      </c>
      <c r="W767" s="45" t="str">
        <f>PROPER(TRIM(Table13232[[#This Row],[Horse]]))</f>
        <v>Botanical Boy</v>
      </c>
    </row>
    <row r="768" spans="1:23" x14ac:dyDescent="0.25">
      <c r="A768" s="109">
        <v>46039</v>
      </c>
      <c r="B768" s="53">
        <v>0.70694444444444449</v>
      </c>
      <c r="C768" s="110" t="s">
        <v>591</v>
      </c>
      <c r="D768" s="111">
        <v>9</v>
      </c>
      <c r="E768" s="111">
        <v>14</v>
      </c>
      <c r="F768" s="112" t="s">
        <v>602</v>
      </c>
      <c r="G768" s="112"/>
      <c r="H768" s="113"/>
      <c r="I768" s="47" t="s">
        <v>298</v>
      </c>
      <c r="J768" s="45" t="str">
        <f>VLOOKUP(Table13232[[#This Row],[Track]],$C$836:$E$882,2,FALSE)</f>
        <v>Vic</v>
      </c>
      <c r="K768" s="49">
        <v>100</v>
      </c>
      <c r="L768" s="45" t="str">
        <f>IF(Table13232[[#This Row],[Fin]]&lt;&gt;"1st","",Table13232[[#This Row],[Div]]*Table13232[[#This Row],[Lev Bet]])</f>
        <v/>
      </c>
      <c r="M768" s="45">
        <f>IF(Table13232[[#This Row],[Lev Ret]]="",Table13232[[#This Row],[Lev Bet]]*-1,L768-K768)</f>
        <v>-100</v>
      </c>
      <c r="N768" s="135">
        <v>120</v>
      </c>
      <c r="O768" s="135" t="str">
        <f>IF(Table13232[[#This Row],[Fin]]&lt;&gt;"1st","",Table13232[[#This Row],[Div]]*Table13232[[#This Row],[Nat and Combo Bet]])</f>
        <v/>
      </c>
      <c r="P768" s="135">
        <f>IF(Table13232[[#This Row],[Lev Ret]]="",Table13232[[#This Row],[Nat and Combo Bet]]*-1,O768-N768)</f>
        <v>-120</v>
      </c>
      <c r="Q768" s="50">
        <f t="shared" si="33"/>
        <v>1</v>
      </c>
      <c r="R768" s="50" t="str">
        <f>IF(AND(Q767=2,Q768=1),"",IF(Q768=2,(N768+N769)/2,IF(Table13232[[#This Row],[Dual Listing]]=1,Table13232[[#This Row],[Nat and Combo Bet]],11)))</f>
        <v/>
      </c>
      <c r="S768" s="50" t="str">
        <f t="shared" si="34"/>
        <v/>
      </c>
      <c r="T768" s="50" t="str">
        <f t="shared" si="35"/>
        <v/>
      </c>
      <c r="U768" s="50" t="str">
        <f>IF(Table13232[[#This Row],[Date]]&lt;$U$4,"","Live")</f>
        <v>Live</v>
      </c>
      <c r="V768" s="45" t="str">
        <f>TEXT(Table13232[[#This Row],[Date]],"DDD")</f>
        <v>Sat</v>
      </c>
      <c r="W768" s="45" t="str">
        <f>PROPER(TRIM(Table13232[[#This Row],[Horse]]))</f>
        <v>Botanical Boy</v>
      </c>
    </row>
    <row r="769" spans="1:23" x14ac:dyDescent="0.25">
      <c r="A769" s="43">
        <v>46039</v>
      </c>
      <c r="B769" s="44">
        <v>0.73472222222222228</v>
      </c>
      <c r="C769" s="44" t="s">
        <v>591</v>
      </c>
      <c r="D769" s="45">
        <v>10</v>
      </c>
      <c r="E769" s="45">
        <v>8</v>
      </c>
      <c r="F769" s="46" t="s">
        <v>603</v>
      </c>
      <c r="G769" s="46" t="s">
        <v>21</v>
      </c>
      <c r="H769" s="47">
        <v>2.25</v>
      </c>
      <c r="I769" s="140" t="s">
        <v>297</v>
      </c>
      <c r="J769" s="45" t="str">
        <f>VLOOKUP(Table13232[[#This Row],[Track]],$C$836:$E$882,2,FALSE)</f>
        <v>Vic</v>
      </c>
      <c r="K769" s="49">
        <v>100</v>
      </c>
      <c r="L769" s="45">
        <f>IF(Table13232[[#This Row],[Fin]]&lt;&gt;"1st","",Table13232[[#This Row],[Div]]*Table13232[[#This Row],[Lev Bet]])</f>
        <v>225</v>
      </c>
      <c r="M769" s="45">
        <f>IF(Table13232[[#This Row],[Lev Ret]]="",Table13232[[#This Row],[Lev Bet]]*-1,L769-K769)</f>
        <v>125</v>
      </c>
      <c r="N769" s="135">
        <v>50</v>
      </c>
      <c r="O769" s="135">
        <f>IF(Table13232[[#This Row],[Fin]]&lt;&gt;"1st","",Table13232[[#This Row],[Div]]*Table13232[[#This Row],[Nat and Combo Bet]])</f>
        <v>112.5</v>
      </c>
      <c r="P769" s="135">
        <f>IF(Table13232[[#This Row],[Lev Ret]]="",Table13232[[#This Row],[Nat and Combo Bet]]*-1,O769-N769)</f>
        <v>62.5</v>
      </c>
      <c r="Q769" s="50">
        <f t="shared" si="33"/>
        <v>1</v>
      </c>
      <c r="R769" s="50">
        <f>IF(AND(Q768=2,Q769=1),"",IF(Q769=2,(N769+N770)/2,IF(Table13232[[#This Row],[Dual Listing]]=1,Table13232[[#This Row],[Nat and Combo Bet]],11)))</f>
        <v>50</v>
      </c>
      <c r="S769" s="50">
        <f t="shared" si="34"/>
        <v>112.5</v>
      </c>
      <c r="T769" s="50">
        <f t="shared" si="35"/>
        <v>62.5</v>
      </c>
      <c r="U769" s="50" t="str">
        <f>IF(Table13232[[#This Row],[Date]]&lt;$U$4,"","Live")</f>
        <v>Live</v>
      </c>
      <c r="V769" s="45" t="str">
        <f>TEXT(Table13232[[#This Row],[Date]],"DDD")</f>
        <v>Sat</v>
      </c>
      <c r="W769" s="45" t="str">
        <f>PROPER(TRIM(Table13232[[#This Row],[Horse]]))</f>
        <v>Sass Appeal</v>
      </c>
    </row>
    <row r="770" spans="1:23" x14ac:dyDescent="0.25">
      <c r="A770" s="109">
        <v>46046</v>
      </c>
      <c r="B770" s="53">
        <v>0.47222222222222221</v>
      </c>
      <c r="C770" s="110" t="s">
        <v>526</v>
      </c>
      <c r="D770" s="111">
        <v>1</v>
      </c>
      <c r="E770" s="111">
        <v>6</v>
      </c>
      <c r="F770" s="112" t="s">
        <v>117</v>
      </c>
      <c r="G770" s="112" t="s">
        <v>23</v>
      </c>
      <c r="H770" s="113"/>
      <c r="I770" s="140" t="s">
        <v>297</v>
      </c>
      <c r="J770" s="45" t="str">
        <f>VLOOKUP(Table13232[[#This Row],[Track]],$C$836:$E$882,2,FALSE)</f>
        <v>Vic</v>
      </c>
      <c r="K770" s="49">
        <v>100</v>
      </c>
      <c r="L770" s="45" t="str">
        <f>IF(Table13232[[#This Row],[Fin]]&lt;&gt;"1st","",Table13232[[#This Row],[Div]]*Table13232[[#This Row],[Lev Bet]])</f>
        <v/>
      </c>
      <c r="M770" s="45">
        <f>IF(Table13232[[#This Row],[Lev Ret]]="",Table13232[[#This Row],[Lev Bet]]*-1,L770-K770)</f>
        <v>-100</v>
      </c>
      <c r="N770" s="135">
        <v>160</v>
      </c>
      <c r="O770" s="135" t="str">
        <f>IF(Table13232[[#This Row],[Fin]]&lt;&gt;"1st","",Table13232[[#This Row],[Div]]*Table13232[[#This Row],[Nat and Combo Bet]])</f>
        <v/>
      </c>
      <c r="P770" s="135">
        <f>IF(Table13232[[#This Row],[Lev Ret]]="",Table13232[[#This Row],[Nat and Combo Bet]]*-1,O770-N770)</f>
        <v>-160</v>
      </c>
      <c r="Q770" s="50">
        <f t="shared" si="33"/>
        <v>2</v>
      </c>
      <c r="R770" s="50">
        <f>IF(AND(Q769=2,Q770=1),"",IF(Q770=2,(N770+N771)/2,IF(Table13232[[#This Row],[Dual Listing]]=1,Table13232[[#This Row],[Nat and Combo Bet]],11)))</f>
        <v>180</v>
      </c>
      <c r="S770" s="50" t="str">
        <f t="shared" si="34"/>
        <v/>
      </c>
      <c r="T770" s="50">
        <f t="shared" si="35"/>
        <v>-180</v>
      </c>
      <c r="U770" s="50" t="str">
        <f>IF(Table13232[[#This Row],[Date]]&lt;$U$4,"","Live")</f>
        <v>Live</v>
      </c>
      <c r="V770" s="45" t="str">
        <f>TEXT(Table13232[[#This Row],[Date]],"DDD")</f>
        <v>Sat</v>
      </c>
      <c r="W770" s="45" t="str">
        <f>PROPER(TRIM(Table13232[[#This Row],[Horse]]))</f>
        <v>Merrigold</v>
      </c>
    </row>
    <row r="771" spans="1:23" x14ac:dyDescent="0.25">
      <c r="A771" s="109">
        <v>46046</v>
      </c>
      <c r="B771" s="53">
        <v>0.47222222222222221</v>
      </c>
      <c r="C771" s="110" t="s">
        <v>34</v>
      </c>
      <c r="D771" s="111">
        <v>1</v>
      </c>
      <c r="E771" s="111">
        <v>6</v>
      </c>
      <c r="F771" s="112" t="s">
        <v>117</v>
      </c>
      <c r="G771" s="112" t="s">
        <v>23</v>
      </c>
      <c r="H771" s="113"/>
      <c r="I771" s="47" t="s">
        <v>298</v>
      </c>
      <c r="J771" s="45" t="str">
        <f>VLOOKUP(Table13232[[#This Row],[Track]],$C$836:$E$882,2,FALSE)</f>
        <v>Vic</v>
      </c>
      <c r="K771" s="49">
        <v>100</v>
      </c>
      <c r="L771" s="45" t="str">
        <f>IF(Table13232[[#This Row],[Fin]]&lt;&gt;"1st","",Table13232[[#This Row],[Div]]*Table13232[[#This Row],[Lev Bet]])</f>
        <v/>
      </c>
      <c r="M771" s="45">
        <f>IF(Table13232[[#This Row],[Lev Ret]]="",Table13232[[#This Row],[Lev Bet]]*-1,L771-K771)</f>
        <v>-100</v>
      </c>
      <c r="N771" s="135">
        <v>200</v>
      </c>
      <c r="O771" s="135" t="str">
        <f>IF(Table13232[[#This Row],[Fin]]&lt;&gt;"1st","",Table13232[[#This Row],[Div]]*Table13232[[#This Row],[Nat and Combo Bet]])</f>
        <v/>
      </c>
      <c r="P771" s="135">
        <f>IF(Table13232[[#This Row],[Lev Ret]]="",Table13232[[#This Row],[Nat and Combo Bet]]*-1,O771-N771)</f>
        <v>-200</v>
      </c>
      <c r="Q771" s="50">
        <f t="shared" si="33"/>
        <v>1</v>
      </c>
      <c r="R771" s="50" t="str">
        <f>IF(AND(Q770=2,Q771=1),"",IF(Q771=2,(N771+N772)/2,IF(Table13232[[#This Row],[Dual Listing]]=1,Table13232[[#This Row],[Nat and Combo Bet]],11)))</f>
        <v/>
      </c>
      <c r="S771" s="50" t="str">
        <f t="shared" si="34"/>
        <v/>
      </c>
      <c r="T771" s="50" t="str">
        <f t="shared" si="35"/>
        <v/>
      </c>
      <c r="U771" s="50" t="str">
        <f>IF(Table13232[[#This Row],[Date]]&lt;$U$4,"","Live")</f>
        <v>Live</v>
      </c>
      <c r="V771" s="45" t="str">
        <f>TEXT(Table13232[[#This Row],[Date]],"DDD")</f>
        <v>Sat</v>
      </c>
      <c r="W771" s="45" t="str">
        <f>PROPER(TRIM(Table13232[[#This Row],[Horse]]))</f>
        <v>Merrigold</v>
      </c>
    </row>
    <row r="772" spans="1:23" x14ac:dyDescent="0.25">
      <c r="A772" s="43">
        <v>46046</v>
      </c>
      <c r="B772" s="44">
        <v>0.47222222222222221</v>
      </c>
      <c r="C772" s="44" t="s">
        <v>526</v>
      </c>
      <c r="D772" s="45">
        <v>1</v>
      </c>
      <c r="E772" s="45">
        <v>3</v>
      </c>
      <c r="F772" s="46" t="s">
        <v>391</v>
      </c>
      <c r="G772" s="46" t="s">
        <v>476</v>
      </c>
      <c r="H772" s="47"/>
      <c r="I772" s="140" t="s">
        <v>297</v>
      </c>
      <c r="J772" s="45" t="str">
        <f>VLOOKUP(Table13232[[#This Row],[Track]],$C$836:$E$882,2,FALSE)</f>
        <v>Vic</v>
      </c>
      <c r="K772" s="49">
        <v>100</v>
      </c>
      <c r="L772" s="45" t="str">
        <f>IF(Table13232[[#This Row],[Fin]]&lt;&gt;"1st","",Table13232[[#This Row],[Div]]*Table13232[[#This Row],[Lev Bet]])</f>
        <v/>
      </c>
      <c r="M772" s="45">
        <f>IF(Table13232[[#This Row],[Lev Ret]]="",Table13232[[#This Row],[Lev Bet]]*-1,L772-K772)</f>
        <v>-100</v>
      </c>
      <c r="N772" s="135">
        <v>150</v>
      </c>
      <c r="O772" s="135" t="str">
        <f>IF(Table13232[[#This Row],[Fin]]&lt;&gt;"1st","",Table13232[[#This Row],[Div]]*Table13232[[#This Row],[Nat and Combo Bet]])</f>
        <v/>
      </c>
      <c r="P772" s="135">
        <f>IF(Table13232[[#This Row],[Lev Ret]]="",Table13232[[#This Row],[Nat and Combo Bet]]*-1,O772-N772)</f>
        <v>-150</v>
      </c>
      <c r="Q772" s="50">
        <f t="shared" si="33"/>
        <v>1</v>
      </c>
      <c r="R772" s="50">
        <f>IF(AND(Q771=2,Q772=1),"",IF(Q772=2,(N772+N773)/2,IF(Table13232[[#This Row],[Dual Listing]]=1,Table13232[[#This Row],[Nat and Combo Bet]],11)))</f>
        <v>150</v>
      </c>
      <c r="S772" s="50" t="str">
        <f t="shared" si="34"/>
        <v/>
      </c>
      <c r="T772" s="50">
        <f t="shared" si="35"/>
        <v>-150</v>
      </c>
      <c r="U772" s="50" t="str">
        <f>IF(Table13232[[#This Row],[Date]]&lt;$U$4,"","Live")</f>
        <v>Live</v>
      </c>
      <c r="V772" s="45" t="str">
        <f>TEXT(Table13232[[#This Row],[Date]],"DDD")</f>
        <v>Sat</v>
      </c>
      <c r="W772" s="45" t="str">
        <f>PROPER(TRIM(Table13232[[#This Row],[Horse]]))</f>
        <v>Verdad</v>
      </c>
    </row>
    <row r="773" spans="1:23" x14ac:dyDescent="0.25">
      <c r="A773" s="43">
        <v>46046</v>
      </c>
      <c r="B773" s="44">
        <v>0.54861111111111116</v>
      </c>
      <c r="C773" s="44" t="s">
        <v>13</v>
      </c>
      <c r="D773" s="45">
        <v>2</v>
      </c>
      <c r="E773" s="45">
        <v>7</v>
      </c>
      <c r="F773" s="46" t="s">
        <v>604</v>
      </c>
      <c r="G773" s="46"/>
      <c r="H773" s="47"/>
      <c r="I773" s="140" t="s">
        <v>297</v>
      </c>
      <c r="J773" s="45" t="str">
        <f>VLOOKUP(Table13232[[#This Row],[Track]],$C$836:$E$882,2,FALSE)</f>
        <v>NSW</v>
      </c>
      <c r="K773" s="49">
        <v>100</v>
      </c>
      <c r="L773" s="45" t="str">
        <f>IF(Table13232[[#This Row],[Fin]]&lt;&gt;"1st","",Table13232[[#This Row],[Div]]*Table13232[[#This Row],[Lev Bet]])</f>
        <v/>
      </c>
      <c r="M773" s="45">
        <f>IF(Table13232[[#This Row],[Lev Ret]]="",Table13232[[#This Row],[Lev Bet]]*-1,L773-K773)</f>
        <v>-100</v>
      </c>
      <c r="N773" s="135">
        <v>100</v>
      </c>
      <c r="O773" s="135" t="str">
        <f>IF(Table13232[[#This Row],[Fin]]&lt;&gt;"1st","",Table13232[[#This Row],[Div]]*Table13232[[#This Row],[Nat and Combo Bet]])</f>
        <v/>
      </c>
      <c r="P773" s="135">
        <f>IF(Table13232[[#This Row],[Lev Ret]]="",Table13232[[#This Row],[Nat and Combo Bet]]*-1,O773-N773)</f>
        <v>-100</v>
      </c>
      <c r="Q773" s="50">
        <f t="shared" si="33"/>
        <v>1</v>
      </c>
      <c r="R773" s="50">
        <f>IF(AND(Q772=2,Q773=1),"",IF(Q773=2,(N773+N774)/2,IF(Table13232[[#This Row],[Dual Listing]]=1,Table13232[[#This Row],[Nat and Combo Bet]],11)))</f>
        <v>100</v>
      </c>
      <c r="S773" s="50" t="str">
        <f t="shared" si="34"/>
        <v/>
      </c>
      <c r="T773" s="50">
        <f t="shared" si="35"/>
        <v>-100</v>
      </c>
      <c r="U773" s="50" t="str">
        <f>IF(Table13232[[#This Row],[Date]]&lt;$U$4,"","Live")</f>
        <v>Live</v>
      </c>
      <c r="V773" s="45" t="str">
        <f>TEXT(Table13232[[#This Row],[Date]],"DDD")</f>
        <v>Sat</v>
      </c>
      <c r="W773" s="45" t="str">
        <f>PROPER(TRIM(Table13232[[#This Row],[Horse]]))</f>
        <v>Artful Persuasion</v>
      </c>
    </row>
    <row r="774" spans="1:23" x14ac:dyDescent="0.25">
      <c r="A774" s="43">
        <v>46046</v>
      </c>
      <c r="B774" s="44">
        <v>0.58333333333333337</v>
      </c>
      <c r="C774" s="44" t="s">
        <v>526</v>
      </c>
      <c r="D774" s="45">
        <v>6</v>
      </c>
      <c r="E774" s="45">
        <v>9</v>
      </c>
      <c r="F774" s="46" t="s">
        <v>605</v>
      </c>
      <c r="G774" s="46" t="s">
        <v>23</v>
      </c>
      <c r="H774" s="47"/>
      <c r="I774" s="140" t="s">
        <v>297</v>
      </c>
      <c r="J774" s="45" t="str">
        <f>VLOOKUP(Table13232[[#This Row],[Track]],$C$836:$E$882,2,FALSE)</f>
        <v>Vic</v>
      </c>
      <c r="K774" s="49">
        <v>100</v>
      </c>
      <c r="L774" s="45" t="str">
        <f>IF(Table13232[[#This Row],[Fin]]&lt;&gt;"1st","",Table13232[[#This Row],[Div]]*Table13232[[#This Row],[Lev Bet]])</f>
        <v/>
      </c>
      <c r="M774" s="45">
        <f>IF(Table13232[[#This Row],[Lev Ret]]="",Table13232[[#This Row],[Lev Bet]]*-1,L774-K774)</f>
        <v>-100</v>
      </c>
      <c r="N774" s="135">
        <v>150</v>
      </c>
      <c r="O774" s="135" t="str">
        <f>IF(Table13232[[#This Row],[Fin]]&lt;&gt;"1st","",Table13232[[#This Row],[Div]]*Table13232[[#This Row],[Nat and Combo Bet]])</f>
        <v/>
      </c>
      <c r="P774" s="135">
        <f>IF(Table13232[[#This Row],[Lev Ret]]="",Table13232[[#This Row],[Nat and Combo Bet]]*-1,O774-N774)</f>
        <v>-150</v>
      </c>
      <c r="Q774" s="50">
        <f t="shared" si="33"/>
        <v>1</v>
      </c>
      <c r="R774" s="50">
        <f>IF(AND(Q773=2,Q774=1),"",IF(Q774=2,(N774+N775)/2,IF(Table13232[[#This Row],[Dual Listing]]=1,Table13232[[#This Row],[Nat and Combo Bet]],11)))</f>
        <v>150</v>
      </c>
      <c r="S774" s="50" t="str">
        <f t="shared" si="34"/>
        <v/>
      </c>
      <c r="T774" s="50">
        <f t="shared" si="35"/>
        <v>-150</v>
      </c>
      <c r="U774" s="50" t="str">
        <f>IF(Table13232[[#This Row],[Date]]&lt;$U$4,"","Live")</f>
        <v>Live</v>
      </c>
      <c r="V774" s="45" t="str">
        <f>TEXT(Table13232[[#This Row],[Date]],"DDD")</f>
        <v>Sat</v>
      </c>
      <c r="W774" s="45" t="str">
        <f>PROPER(TRIM(Table13232[[#This Row],[Horse]]))</f>
        <v>Active Duty</v>
      </c>
    </row>
    <row r="775" spans="1:23" x14ac:dyDescent="0.25">
      <c r="A775" s="43">
        <v>46046</v>
      </c>
      <c r="B775" s="44">
        <v>0.58333333333333337</v>
      </c>
      <c r="C775" s="44" t="s">
        <v>526</v>
      </c>
      <c r="D775" s="45">
        <v>6</v>
      </c>
      <c r="E775" s="45">
        <v>6</v>
      </c>
      <c r="F775" s="46" t="s">
        <v>594</v>
      </c>
      <c r="G775" s="46" t="s">
        <v>21</v>
      </c>
      <c r="H775" s="47">
        <v>4.4000000000000004</v>
      </c>
      <c r="I775" s="140" t="s">
        <v>297</v>
      </c>
      <c r="J775" s="45" t="str">
        <f>VLOOKUP(Table13232[[#This Row],[Track]],$C$836:$E$882,2,FALSE)</f>
        <v>Vic</v>
      </c>
      <c r="K775" s="49">
        <v>100</v>
      </c>
      <c r="L775" s="45">
        <f>IF(Table13232[[#This Row],[Fin]]&lt;&gt;"1st","",Table13232[[#This Row],[Div]]*Table13232[[#This Row],[Lev Bet]])</f>
        <v>440.00000000000006</v>
      </c>
      <c r="M775" s="45">
        <f>IF(Table13232[[#This Row],[Lev Ret]]="",Table13232[[#This Row],[Lev Bet]]*-1,L775-K775)</f>
        <v>340.00000000000006</v>
      </c>
      <c r="N775" s="135">
        <v>100</v>
      </c>
      <c r="O775" s="135">
        <f>IF(Table13232[[#This Row],[Fin]]&lt;&gt;"1st","",Table13232[[#This Row],[Div]]*Table13232[[#This Row],[Nat and Combo Bet]])</f>
        <v>440.00000000000006</v>
      </c>
      <c r="P775" s="135">
        <f>IF(Table13232[[#This Row],[Lev Ret]]="",Table13232[[#This Row],[Nat and Combo Bet]]*-1,O775-N775)</f>
        <v>340.00000000000006</v>
      </c>
      <c r="Q775" s="50">
        <f t="shared" ref="Q775:Q802" si="36">IF(AND(A776=A775,F776=F775),2,1)</f>
        <v>1</v>
      </c>
      <c r="R775" s="50">
        <f>IF(AND(Q774=2,Q775=1),"",IF(Q775=2,(N775+N776)/2,IF(Table13232[[#This Row],[Dual Listing]]=1,Table13232[[#This Row],[Nat and Combo Bet]],11)))</f>
        <v>100</v>
      </c>
      <c r="S775" s="50">
        <f t="shared" ref="S775:S838" si="37">IF(R775="","",IF(O775="","",R775*H775))</f>
        <v>440.00000000000006</v>
      </c>
      <c r="T775" s="50">
        <f t="shared" ref="T775:T838" si="38">IF(R775="","",IF(S775="",R775*-1,S775-R775))</f>
        <v>340.00000000000006</v>
      </c>
      <c r="U775" s="50" t="str">
        <f>IF(Table13232[[#This Row],[Date]]&lt;$U$4,"","Live")</f>
        <v>Live</v>
      </c>
      <c r="V775" s="45" t="str">
        <f>TEXT(Table13232[[#This Row],[Date]],"DDD")</f>
        <v>Sat</v>
      </c>
      <c r="W775" s="45" t="str">
        <f>PROPER(TRIM(Table13232[[#This Row],[Horse]]))</f>
        <v>Suntora</v>
      </c>
    </row>
    <row r="776" spans="1:23" x14ac:dyDescent="0.25">
      <c r="A776" s="43">
        <v>46046</v>
      </c>
      <c r="B776" s="44">
        <v>0.60069444444444442</v>
      </c>
      <c r="C776" s="44" t="s">
        <v>13</v>
      </c>
      <c r="D776" s="45">
        <v>5</v>
      </c>
      <c r="E776" s="45">
        <v>6</v>
      </c>
      <c r="F776" s="46" t="s">
        <v>606</v>
      </c>
      <c r="G776" s="46" t="s">
        <v>476</v>
      </c>
      <c r="H776" s="47"/>
      <c r="I776" s="140" t="s">
        <v>297</v>
      </c>
      <c r="J776" s="45" t="str">
        <f>VLOOKUP(Table13232[[#This Row],[Track]],$C$836:$E$882,2,FALSE)</f>
        <v>NSW</v>
      </c>
      <c r="K776" s="49">
        <v>100</v>
      </c>
      <c r="L776" s="45" t="str">
        <f>IF(Table13232[[#This Row],[Fin]]&lt;&gt;"1st","",Table13232[[#This Row],[Div]]*Table13232[[#This Row],[Lev Bet]])</f>
        <v/>
      </c>
      <c r="M776" s="45">
        <f>IF(Table13232[[#This Row],[Lev Ret]]="",Table13232[[#This Row],[Lev Bet]]*-1,L776-K776)</f>
        <v>-100</v>
      </c>
      <c r="N776" s="135">
        <v>200</v>
      </c>
      <c r="O776" s="135" t="str">
        <f>IF(Table13232[[#This Row],[Fin]]&lt;&gt;"1st","",Table13232[[#This Row],[Div]]*Table13232[[#This Row],[Nat and Combo Bet]])</f>
        <v/>
      </c>
      <c r="P776" s="135">
        <f>IF(Table13232[[#This Row],[Lev Ret]]="",Table13232[[#This Row],[Nat and Combo Bet]]*-1,O776-N776)</f>
        <v>-200</v>
      </c>
      <c r="Q776" s="50">
        <f t="shared" si="36"/>
        <v>1</v>
      </c>
      <c r="R776" s="50">
        <f>IF(AND(Q775=2,Q776=1),"",IF(Q776=2,(N776+N777)/2,IF(Table13232[[#This Row],[Dual Listing]]=1,Table13232[[#This Row],[Nat and Combo Bet]],11)))</f>
        <v>200</v>
      </c>
      <c r="S776" s="50" t="str">
        <f t="shared" si="37"/>
        <v/>
      </c>
      <c r="T776" s="50">
        <f t="shared" si="38"/>
        <v>-200</v>
      </c>
      <c r="U776" s="50" t="str">
        <f>IF(Table13232[[#This Row],[Date]]&lt;$U$4,"","Live")</f>
        <v>Live</v>
      </c>
      <c r="V776" s="45" t="str">
        <f>TEXT(Table13232[[#This Row],[Date]],"DDD")</f>
        <v>Sat</v>
      </c>
      <c r="W776" s="45" t="str">
        <f>PROPER(TRIM(Table13232[[#This Row],[Horse]]))</f>
        <v>Sounds Unusual</v>
      </c>
    </row>
    <row r="777" spans="1:23" x14ac:dyDescent="0.25">
      <c r="A777" s="43">
        <v>46046</v>
      </c>
      <c r="B777" s="44">
        <v>0.60763888888888884</v>
      </c>
      <c r="C777" s="44" t="s">
        <v>526</v>
      </c>
      <c r="D777" s="45">
        <v>7</v>
      </c>
      <c r="E777" s="45">
        <v>4</v>
      </c>
      <c r="F777" s="46" t="s">
        <v>607</v>
      </c>
      <c r="G777" s="46" t="s">
        <v>23</v>
      </c>
      <c r="H777" s="47"/>
      <c r="I777" s="140" t="s">
        <v>297</v>
      </c>
      <c r="J777" s="45" t="str">
        <f>VLOOKUP(Table13232[[#This Row],[Track]],$C$836:$E$882,2,FALSE)</f>
        <v>Vic</v>
      </c>
      <c r="K777" s="49">
        <v>100</v>
      </c>
      <c r="L777" s="45" t="str">
        <f>IF(Table13232[[#This Row],[Fin]]&lt;&gt;"1st","",Table13232[[#This Row],[Div]]*Table13232[[#This Row],[Lev Bet]])</f>
        <v/>
      </c>
      <c r="M777" s="45">
        <f>IF(Table13232[[#This Row],[Lev Ret]]="",Table13232[[#This Row],[Lev Bet]]*-1,L777-K777)</f>
        <v>-100</v>
      </c>
      <c r="N777" s="135">
        <v>100</v>
      </c>
      <c r="O777" s="135" t="str">
        <f>IF(Table13232[[#This Row],[Fin]]&lt;&gt;"1st","",Table13232[[#This Row],[Div]]*Table13232[[#This Row],[Nat and Combo Bet]])</f>
        <v/>
      </c>
      <c r="P777" s="135">
        <f>IF(Table13232[[#This Row],[Lev Ret]]="",Table13232[[#This Row],[Nat and Combo Bet]]*-1,O777-N777)</f>
        <v>-100</v>
      </c>
      <c r="Q777" s="50">
        <f t="shared" si="36"/>
        <v>1</v>
      </c>
      <c r="R777" s="50">
        <f>IF(AND(Q776=2,Q777=1),"",IF(Q777=2,(N777+N778)/2,IF(Table13232[[#This Row],[Dual Listing]]=1,Table13232[[#This Row],[Nat and Combo Bet]],11)))</f>
        <v>100</v>
      </c>
      <c r="S777" s="50" t="str">
        <f t="shared" si="37"/>
        <v/>
      </c>
      <c r="T777" s="50">
        <f t="shared" si="38"/>
        <v>-100</v>
      </c>
      <c r="U777" s="50" t="str">
        <f>IF(Table13232[[#This Row],[Date]]&lt;$U$4,"","Live")</f>
        <v>Live</v>
      </c>
      <c r="V777" s="45" t="str">
        <f>TEXT(Table13232[[#This Row],[Date]],"DDD")</f>
        <v>Sat</v>
      </c>
      <c r="W777" s="45" t="str">
        <f>PROPER(TRIM(Table13232[[#This Row],[Horse]]))</f>
        <v>Oak Hill</v>
      </c>
    </row>
    <row r="778" spans="1:23" x14ac:dyDescent="0.25">
      <c r="A778" s="43">
        <v>46046</v>
      </c>
      <c r="B778" s="44">
        <v>0.62152777777777779</v>
      </c>
      <c r="C778" s="44" t="s">
        <v>13</v>
      </c>
      <c r="D778" s="45">
        <v>5</v>
      </c>
      <c r="E778" s="45">
        <v>11</v>
      </c>
      <c r="F778" s="46" t="s">
        <v>592</v>
      </c>
      <c r="G778" s="46"/>
      <c r="H778" s="47"/>
      <c r="I778" s="47" t="s">
        <v>298</v>
      </c>
      <c r="J778" s="45" t="str">
        <f>VLOOKUP(Table13232[[#This Row],[Track]],$C$836:$E$882,2,FALSE)</f>
        <v>NSW</v>
      </c>
      <c r="K778" s="49">
        <v>100</v>
      </c>
      <c r="L778" s="45" t="str">
        <f>IF(Table13232[[#This Row],[Fin]]&lt;&gt;"1st","",Table13232[[#This Row],[Div]]*Table13232[[#This Row],[Lev Bet]])</f>
        <v/>
      </c>
      <c r="M778" s="45">
        <f>IF(Table13232[[#This Row],[Lev Ret]]="",Table13232[[#This Row],[Lev Bet]]*-1,L778-K778)</f>
        <v>-100</v>
      </c>
      <c r="N778" s="135">
        <v>150</v>
      </c>
      <c r="O778" s="135" t="str">
        <f>IF(Table13232[[#This Row],[Fin]]&lt;&gt;"1st","",Table13232[[#This Row],[Div]]*Table13232[[#This Row],[Nat and Combo Bet]])</f>
        <v/>
      </c>
      <c r="P778" s="135">
        <f>IF(Table13232[[#This Row],[Lev Ret]]="",Table13232[[#This Row],[Nat and Combo Bet]]*-1,O778-N778)</f>
        <v>-150</v>
      </c>
      <c r="Q778" s="50">
        <f t="shared" si="36"/>
        <v>1</v>
      </c>
      <c r="R778" s="50">
        <f>IF(AND(Q777=2,Q778=1),"",IF(Q778=2,(N778+N779)/2,IF(Table13232[[#This Row],[Dual Listing]]=1,Table13232[[#This Row],[Nat and Combo Bet]],11)))</f>
        <v>150</v>
      </c>
      <c r="S778" s="50" t="str">
        <f t="shared" si="37"/>
        <v/>
      </c>
      <c r="T778" s="50">
        <f t="shared" si="38"/>
        <v>-150</v>
      </c>
      <c r="U778" s="50" t="str">
        <f>IF(Table13232[[#This Row],[Date]]&lt;$U$4,"","Live")</f>
        <v>Live</v>
      </c>
      <c r="V778" s="45" t="str">
        <f>TEXT(Table13232[[#This Row],[Date]],"DDD")</f>
        <v>Sat</v>
      </c>
      <c r="W778" s="45" t="str">
        <f>PROPER(TRIM(Table13232[[#This Row],[Horse]]))</f>
        <v>Trapalanda</v>
      </c>
    </row>
    <row r="779" spans="1:23" x14ac:dyDescent="0.25">
      <c r="A779" s="109">
        <v>46046</v>
      </c>
      <c r="B779" s="53">
        <v>0.64583333333333337</v>
      </c>
      <c r="C779" s="110" t="s">
        <v>13</v>
      </c>
      <c r="D779" s="111">
        <v>6</v>
      </c>
      <c r="E779" s="111">
        <v>11</v>
      </c>
      <c r="F779" s="112" t="s">
        <v>608</v>
      </c>
      <c r="G779" s="112"/>
      <c r="H779" s="113"/>
      <c r="I779" s="140" t="s">
        <v>297</v>
      </c>
      <c r="J779" s="45" t="str">
        <f>VLOOKUP(Table13232[[#This Row],[Track]],$C$836:$E$882,2,FALSE)</f>
        <v>NSW</v>
      </c>
      <c r="K779" s="49">
        <v>100</v>
      </c>
      <c r="L779" s="45" t="str">
        <f>IF(Table13232[[#This Row],[Fin]]&lt;&gt;"1st","",Table13232[[#This Row],[Div]]*Table13232[[#This Row],[Lev Bet]])</f>
        <v/>
      </c>
      <c r="M779" s="45">
        <f>IF(Table13232[[#This Row],[Lev Ret]]="",Table13232[[#This Row],[Lev Bet]]*-1,L779-K779)</f>
        <v>-100</v>
      </c>
      <c r="N779" s="135">
        <v>150</v>
      </c>
      <c r="O779" s="135" t="str">
        <f>IF(Table13232[[#This Row],[Fin]]&lt;&gt;"1st","",Table13232[[#This Row],[Div]]*Table13232[[#This Row],[Nat and Combo Bet]])</f>
        <v/>
      </c>
      <c r="P779" s="135">
        <f>IF(Table13232[[#This Row],[Lev Ret]]="",Table13232[[#This Row],[Nat and Combo Bet]]*-1,O779-N779)</f>
        <v>-150</v>
      </c>
      <c r="Q779" s="50">
        <f t="shared" si="36"/>
        <v>2</v>
      </c>
      <c r="R779" s="50">
        <f>IF(AND(Q778=2,Q779=1),"",IF(Q779=2,(N779+N780)/2,IF(Table13232[[#This Row],[Dual Listing]]=1,Table13232[[#This Row],[Nat and Combo Bet]],11)))</f>
        <v>150</v>
      </c>
      <c r="S779" s="50" t="str">
        <f t="shared" si="37"/>
        <v/>
      </c>
      <c r="T779" s="50">
        <f t="shared" si="38"/>
        <v>-150</v>
      </c>
      <c r="U779" s="50" t="str">
        <f>IF(Table13232[[#This Row],[Date]]&lt;$U$4,"","Live")</f>
        <v>Live</v>
      </c>
      <c r="V779" s="45" t="str">
        <f>TEXT(Table13232[[#This Row],[Date]],"DDD")</f>
        <v>Sat</v>
      </c>
      <c r="W779" s="45" t="str">
        <f>PROPER(TRIM(Table13232[[#This Row],[Horse]]))</f>
        <v>Highway Strip</v>
      </c>
    </row>
    <row r="780" spans="1:23" x14ac:dyDescent="0.25">
      <c r="A780" s="109">
        <v>46046</v>
      </c>
      <c r="B780" s="53">
        <v>0.64583333333333337</v>
      </c>
      <c r="C780" s="110" t="s">
        <v>13</v>
      </c>
      <c r="D780" s="111">
        <v>6</v>
      </c>
      <c r="E780" s="111">
        <v>11</v>
      </c>
      <c r="F780" s="112" t="s">
        <v>608</v>
      </c>
      <c r="G780" s="112"/>
      <c r="H780" s="113"/>
      <c r="I780" s="47" t="s">
        <v>298</v>
      </c>
      <c r="J780" s="45" t="str">
        <f>VLOOKUP(Table13232[[#This Row],[Track]],$C$836:$E$882,2,FALSE)</f>
        <v>NSW</v>
      </c>
      <c r="K780" s="49">
        <v>100</v>
      </c>
      <c r="L780" s="45" t="str">
        <f>IF(Table13232[[#This Row],[Fin]]&lt;&gt;"1st","",Table13232[[#This Row],[Div]]*Table13232[[#This Row],[Lev Bet]])</f>
        <v/>
      </c>
      <c r="M780" s="45">
        <f>IF(Table13232[[#This Row],[Lev Ret]]="",Table13232[[#This Row],[Lev Bet]]*-1,L780-K780)</f>
        <v>-100</v>
      </c>
      <c r="N780" s="135">
        <v>150</v>
      </c>
      <c r="O780" s="135" t="str">
        <f>IF(Table13232[[#This Row],[Fin]]&lt;&gt;"1st","",Table13232[[#This Row],[Div]]*Table13232[[#This Row],[Nat and Combo Bet]])</f>
        <v/>
      </c>
      <c r="P780" s="135">
        <f>IF(Table13232[[#This Row],[Lev Ret]]="",Table13232[[#This Row],[Nat and Combo Bet]]*-1,O780-N780)</f>
        <v>-150</v>
      </c>
      <c r="Q780" s="50">
        <f t="shared" si="36"/>
        <v>1</v>
      </c>
      <c r="R780" s="50" t="str">
        <f>IF(AND(Q779=2,Q780=1),"",IF(Q780=2,(N780+N781)/2,IF(Table13232[[#This Row],[Dual Listing]]=1,Table13232[[#This Row],[Nat and Combo Bet]],11)))</f>
        <v/>
      </c>
      <c r="S780" s="50" t="str">
        <f t="shared" si="37"/>
        <v/>
      </c>
      <c r="T780" s="50" t="str">
        <f t="shared" si="38"/>
        <v/>
      </c>
      <c r="U780" s="50" t="str">
        <f>IF(Table13232[[#This Row],[Date]]&lt;$U$4,"","Live")</f>
        <v>Live</v>
      </c>
      <c r="V780" s="45" t="str">
        <f>TEXT(Table13232[[#This Row],[Date]],"DDD")</f>
        <v>Sat</v>
      </c>
      <c r="W780" s="45" t="str">
        <f>PROPER(TRIM(Table13232[[#This Row],[Horse]]))</f>
        <v>Highway Strip</v>
      </c>
    </row>
    <row r="781" spans="1:23" x14ac:dyDescent="0.25">
      <c r="A781" s="43">
        <v>46046</v>
      </c>
      <c r="B781" s="44">
        <v>0.65625</v>
      </c>
      <c r="C781" s="44" t="s">
        <v>526</v>
      </c>
      <c r="D781" s="45">
        <v>9</v>
      </c>
      <c r="E781" s="45">
        <v>11</v>
      </c>
      <c r="F781" s="46" t="s">
        <v>609</v>
      </c>
      <c r="G781" s="46" t="s">
        <v>22</v>
      </c>
      <c r="H781" s="47"/>
      <c r="I781" s="140" t="s">
        <v>297</v>
      </c>
      <c r="J781" s="45" t="str">
        <f>VLOOKUP(Table13232[[#This Row],[Track]],$C$836:$E$882,2,FALSE)</f>
        <v>Vic</v>
      </c>
      <c r="K781" s="49">
        <v>100</v>
      </c>
      <c r="L781" s="45" t="str">
        <f>IF(Table13232[[#This Row],[Fin]]&lt;&gt;"1st","",Table13232[[#This Row],[Div]]*Table13232[[#This Row],[Lev Bet]])</f>
        <v/>
      </c>
      <c r="M781" s="45">
        <f>IF(Table13232[[#This Row],[Lev Ret]]="",Table13232[[#This Row],[Lev Bet]]*-1,L781-K781)</f>
        <v>-100</v>
      </c>
      <c r="N781" s="135">
        <v>100</v>
      </c>
      <c r="O781" s="135" t="str">
        <f>IF(Table13232[[#This Row],[Fin]]&lt;&gt;"1st","",Table13232[[#This Row],[Div]]*Table13232[[#This Row],[Nat and Combo Bet]])</f>
        <v/>
      </c>
      <c r="P781" s="135">
        <f>IF(Table13232[[#This Row],[Lev Ret]]="",Table13232[[#This Row],[Nat and Combo Bet]]*-1,O781-N781)</f>
        <v>-100</v>
      </c>
      <c r="Q781" s="50">
        <f t="shared" si="36"/>
        <v>1</v>
      </c>
      <c r="R781" s="50">
        <f>IF(AND(Q780=2,Q781=1),"",IF(Q781=2,(N781+N782)/2,IF(Table13232[[#This Row],[Dual Listing]]=1,Table13232[[#This Row],[Nat and Combo Bet]],11)))</f>
        <v>100</v>
      </c>
      <c r="S781" s="50" t="str">
        <f t="shared" si="37"/>
        <v/>
      </c>
      <c r="T781" s="50">
        <f t="shared" si="38"/>
        <v>-100</v>
      </c>
      <c r="U781" s="50" t="str">
        <f>IF(Table13232[[#This Row],[Date]]&lt;$U$4,"","Live")</f>
        <v>Live</v>
      </c>
      <c r="V781" s="45" t="str">
        <f>TEXT(Table13232[[#This Row],[Date]],"DDD")</f>
        <v>Sat</v>
      </c>
      <c r="W781" s="45" t="str">
        <f>PROPER(TRIM(Table13232[[#This Row],[Horse]]))</f>
        <v>Justadeel</v>
      </c>
    </row>
    <row r="782" spans="1:23" x14ac:dyDescent="0.25">
      <c r="A782" s="43">
        <v>46046</v>
      </c>
      <c r="B782" s="44">
        <v>0.65625</v>
      </c>
      <c r="C782" s="44" t="s">
        <v>526</v>
      </c>
      <c r="D782" s="45">
        <v>9</v>
      </c>
      <c r="E782" s="45">
        <v>3</v>
      </c>
      <c r="F782" s="46" t="s">
        <v>73</v>
      </c>
      <c r="G782" s="46" t="s">
        <v>21</v>
      </c>
      <c r="H782" s="47">
        <v>3.6</v>
      </c>
      <c r="I782" s="140" t="s">
        <v>297</v>
      </c>
      <c r="J782" s="45" t="str">
        <f>VLOOKUP(Table13232[[#This Row],[Track]],$C$836:$E$882,2,FALSE)</f>
        <v>Vic</v>
      </c>
      <c r="K782" s="49">
        <v>100</v>
      </c>
      <c r="L782" s="45">
        <f>IF(Table13232[[#This Row],[Fin]]&lt;&gt;"1st","",Table13232[[#This Row],[Div]]*Table13232[[#This Row],[Lev Bet]])</f>
        <v>360</v>
      </c>
      <c r="M782" s="45">
        <f>IF(Table13232[[#This Row],[Lev Ret]]="",Table13232[[#This Row],[Lev Bet]]*-1,L782-K782)</f>
        <v>260</v>
      </c>
      <c r="N782" s="135">
        <v>150</v>
      </c>
      <c r="O782" s="135">
        <f>IF(Table13232[[#This Row],[Fin]]&lt;&gt;"1st","",Table13232[[#This Row],[Div]]*Table13232[[#This Row],[Nat and Combo Bet]])</f>
        <v>540</v>
      </c>
      <c r="P782" s="135">
        <f>IF(Table13232[[#This Row],[Lev Ret]]="",Table13232[[#This Row],[Nat and Combo Bet]]*-1,O782-N782)</f>
        <v>390</v>
      </c>
      <c r="Q782" s="50">
        <f t="shared" si="36"/>
        <v>1</v>
      </c>
      <c r="R782" s="50">
        <f>IF(AND(Q781=2,Q782=1),"",IF(Q782=2,(N782+N783)/2,IF(Table13232[[#This Row],[Dual Listing]]=1,Table13232[[#This Row],[Nat and Combo Bet]],11)))</f>
        <v>150</v>
      </c>
      <c r="S782" s="50">
        <f t="shared" si="37"/>
        <v>540</v>
      </c>
      <c r="T782" s="50">
        <f t="shared" si="38"/>
        <v>390</v>
      </c>
      <c r="U782" s="50" t="str">
        <f>IF(Table13232[[#This Row],[Date]]&lt;$U$4,"","Live")</f>
        <v>Live</v>
      </c>
      <c r="V782" s="45" t="str">
        <f>TEXT(Table13232[[#This Row],[Date]],"DDD")</f>
        <v>Sat</v>
      </c>
      <c r="W782" s="45" t="str">
        <f>PROPER(TRIM(Table13232[[#This Row],[Horse]]))</f>
        <v>Regal Zeus</v>
      </c>
    </row>
    <row r="783" spans="1:23" x14ac:dyDescent="0.25">
      <c r="A783" s="43">
        <v>46046</v>
      </c>
      <c r="B783" s="44">
        <v>0.67013888888888884</v>
      </c>
      <c r="C783" s="44" t="s">
        <v>13</v>
      </c>
      <c r="D783" s="45">
        <v>7</v>
      </c>
      <c r="E783" s="45">
        <v>6</v>
      </c>
      <c r="F783" s="46" t="s">
        <v>588</v>
      </c>
      <c r="G783" s="46" t="s">
        <v>21</v>
      </c>
      <c r="H783" s="47">
        <v>3.9</v>
      </c>
      <c r="I783" s="47" t="s">
        <v>298</v>
      </c>
      <c r="J783" s="45" t="str">
        <f>VLOOKUP(Table13232[[#This Row],[Track]],$C$836:$E$882,2,FALSE)</f>
        <v>NSW</v>
      </c>
      <c r="K783" s="49">
        <v>100</v>
      </c>
      <c r="L783" s="45">
        <f>IF(Table13232[[#This Row],[Fin]]&lt;&gt;"1st","",Table13232[[#This Row],[Div]]*Table13232[[#This Row],[Lev Bet]])</f>
        <v>390</v>
      </c>
      <c r="M783" s="45">
        <f>IF(Table13232[[#This Row],[Lev Ret]]="",Table13232[[#This Row],[Lev Bet]]*-1,L783-K783)</f>
        <v>290</v>
      </c>
      <c r="N783" s="135">
        <v>150</v>
      </c>
      <c r="O783" s="135">
        <f>IF(Table13232[[#This Row],[Fin]]&lt;&gt;"1st","",Table13232[[#This Row],[Div]]*Table13232[[#This Row],[Nat and Combo Bet]])</f>
        <v>585</v>
      </c>
      <c r="P783" s="135">
        <f>IF(Table13232[[#This Row],[Lev Ret]]="",Table13232[[#This Row],[Nat and Combo Bet]]*-1,O783-N783)</f>
        <v>435</v>
      </c>
      <c r="Q783" s="50">
        <f t="shared" si="36"/>
        <v>1</v>
      </c>
      <c r="R783" s="50">
        <f>IF(AND(Q782=2,Q783=1),"",IF(Q783=2,(N783+N784)/2,IF(Table13232[[#This Row],[Dual Listing]]=1,Table13232[[#This Row],[Nat and Combo Bet]],11)))</f>
        <v>150</v>
      </c>
      <c r="S783" s="50">
        <f t="shared" si="37"/>
        <v>585</v>
      </c>
      <c r="T783" s="50">
        <f t="shared" si="38"/>
        <v>435</v>
      </c>
      <c r="U783" s="50" t="str">
        <f>IF(Table13232[[#This Row],[Date]]&lt;$U$4,"","Live")</f>
        <v>Live</v>
      </c>
      <c r="V783" s="45" t="str">
        <f>TEXT(Table13232[[#This Row],[Date]],"DDD")</f>
        <v>Sat</v>
      </c>
      <c r="W783" s="45" t="str">
        <f>PROPER(TRIM(Table13232[[#This Row],[Horse]]))</f>
        <v>Welcometotheshow</v>
      </c>
    </row>
    <row r="784" spans="1:23" x14ac:dyDescent="0.25">
      <c r="A784" s="109">
        <v>46046</v>
      </c>
      <c r="B784" s="53">
        <v>0.68402777777777779</v>
      </c>
      <c r="C784" s="110" t="s">
        <v>526</v>
      </c>
      <c r="D784" s="111">
        <v>10</v>
      </c>
      <c r="E784" s="111">
        <v>12</v>
      </c>
      <c r="F784" s="112" t="s">
        <v>610</v>
      </c>
      <c r="G784" s="112"/>
      <c r="H784" s="113"/>
      <c r="I784" s="140" t="s">
        <v>297</v>
      </c>
      <c r="J784" s="45" t="str">
        <f>VLOOKUP(Table13232[[#This Row],[Track]],$C$836:$E$882,2,FALSE)</f>
        <v>Vic</v>
      </c>
      <c r="K784" s="49">
        <v>100</v>
      </c>
      <c r="L784" s="45" t="str">
        <f>IF(Table13232[[#This Row],[Fin]]&lt;&gt;"1st","",Table13232[[#This Row],[Div]]*Table13232[[#This Row],[Lev Bet]])</f>
        <v/>
      </c>
      <c r="M784" s="45">
        <f>IF(Table13232[[#This Row],[Lev Ret]]="",Table13232[[#This Row],[Lev Bet]]*-1,L784-K784)</f>
        <v>-100</v>
      </c>
      <c r="N784" s="135">
        <v>200</v>
      </c>
      <c r="O784" s="135" t="str">
        <f>IF(Table13232[[#This Row],[Fin]]&lt;&gt;"1st","",Table13232[[#This Row],[Div]]*Table13232[[#This Row],[Nat and Combo Bet]])</f>
        <v/>
      </c>
      <c r="P784" s="135">
        <f>IF(Table13232[[#This Row],[Lev Ret]]="",Table13232[[#This Row],[Nat and Combo Bet]]*-1,O784-N784)</f>
        <v>-200</v>
      </c>
      <c r="Q784" s="50">
        <f t="shared" si="36"/>
        <v>2</v>
      </c>
      <c r="R784" s="50">
        <f>IF(AND(Q783=2,Q784=1),"",IF(Q784=2,(N784+N785)/2,IF(Table13232[[#This Row],[Dual Listing]]=1,Table13232[[#This Row],[Nat and Combo Bet]],11)))</f>
        <v>200</v>
      </c>
      <c r="S784" s="50" t="str">
        <f t="shared" si="37"/>
        <v/>
      </c>
      <c r="T784" s="50">
        <f t="shared" si="38"/>
        <v>-200</v>
      </c>
      <c r="U784" s="50" t="str">
        <f>IF(Table13232[[#This Row],[Date]]&lt;$U$4,"","Live")</f>
        <v>Live</v>
      </c>
      <c r="V784" s="45" t="str">
        <f>TEXT(Table13232[[#This Row],[Date]],"DDD")</f>
        <v>Sat</v>
      </c>
      <c r="W784" s="45" t="str">
        <f>PROPER(TRIM(Table13232[[#This Row],[Horse]]))</f>
        <v>Yes I Know</v>
      </c>
    </row>
    <row r="785" spans="1:23" x14ac:dyDescent="0.25">
      <c r="A785" s="109">
        <v>46046</v>
      </c>
      <c r="B785" s="53">
        <v>0.68402777777777779</v>
      </c>
      <c r="C785" s="110" t="s">
        <v>34</v>
      </c>
      <c r="D785" s="111">
        <v>10</v>
      </c>
      <c r="E785" s="111">
        <v>12</v>
      </c>
      <c r="F785" s="112" t="s">
        <v>610</v>
      </c>
      <c r="G785" s="112"/>
      <c r="H785" s="113"/>
      <c r="I785" s="47" t="s">
        <v>298</v>
      </c>
      <c r="J785" s="45" t="str">
        <f>VLOOKUP(Table13232[[#This Row],[Track]],$C$836:$E$882,2,FALSE)</f>
        <v>Vic</v>
      </c>
      <c r="K785" s="49">
        <v>100</v>
      </c>
      <c r="L785" s="45" t="str">
        <f>IF(Table13232[[#This Row],[Fin]]&lt;&gt;"1st","",Table13232[[#This Row],[Div]]*Table13232[[#This Row],[Lev Bet]])</f>
        <v/>
      </c>
      <c r="M785" s="45">
        <f>IF(Table13232[[#This Row],[Lev Ret]]="",Table13232[[#This Row],[Lev Bet]]*-1,L785-K785)</f>
        <v>-100</v>
      </c>
      <c r="N785" s="135">
        <v>200</v>
      </c>
      <c r="O785" s="135" t="str">
        <f>IF(Table13232[[#This Row],[Fin]]&lt;&gt;"1st","",Table13232[[#This Row],[Div]]*Table13232[[#This Row],[Nat and Combo Bet]])</f>
        <v/>
      </c>
      <c r="P785" s="135">
        <f>IF(Table13232[[#This Row],[Lev Ret]]="",Table13232[[#This Row],[Nat and Combo Bet]]*-1,O785-N785)</f>
        <v>-200</v>
      </c>
      <c r="Q785" s="50">
        <f t="shared" si="36"/>
        <v>1</v>
      </c>
      <c r="R785" s="50" t="str">
        <f>IF(AND(Q784=2,Q785=1),"",IF(Q785=2,(N785+N786)/2,IF(Table13232[[#This Row],[Dual Listing]]=1,Table13232[[#This Row],[Nat and Combo Bet]],11)))</f>
        <v/>
      </c>
      <c r="S785" s="50" t="str">
        <f t="shared" si="37"/>
        <v/>
      </c>
      <c r="T785" s="50" t="str">
        <f t="shared" si="38"/>
        <v/>
      </c>
      <c r="U785" s="50" t="str">
        <f>IF(Table13232[[#This Row],[Date]]&lt;$U$4,"","Live")</f>
        <v>Live</v>
      </c>
      <c r="V785" s="45" t="str">
        <f>TEXT(Table13232[[#This Row],[Date]],"DDD")</f>
        <v>Sat</v>
      </c>
      <c r="W785" s="45" t="str">
        <f>PROPER(TRIM(Table13232[[#This Row],[Horse]]))</f>
        <v>Yes I Know</v>
      </c>
    </row>
    <row r="786" spans="1:23" x14ac:dyDescent="0.25">
      <c r="A786" s="43">
        <v>46046</v>
      </c>
      <c r="B786" s="44">
        <v>0.74652777777777779</v>
      </c>
      <c r="C786" s="44" t="s">
        <v>13</v>
      </c>
      <c r="D786" s="45">
        <v>10</v>
      </c>
      <c r="E786" s="45">
        <v>4</v>
      </c>
      <c r="F786" s="46" t="s">
        <v>49</v>
      </c>
      <c r="G786" s="46" t="s">
        <v>22</v>
      </c>
      <c r="H786" s="47"/>
      <c r="I786" s="140" t="s">
        <v>297</v>
      </c>
      <c r="J786" s="45" t="str">
        <f>VLOOKUP(Table13232[[#This Row],[Track]],$C$836:$E$882,2,FALSE)</f>
        <v>NSW</v>
      </c>
      <c r="K786" s="49">
        <v>100</v>
      </c>
      <c r="L786" s="45" t="str">
        <f>IF(Table13232[[#This Row],[Fin]]&lt;&gt;"1st","",Table13232[[#This Row],[Div]]*Table13232[[#This Row],[Lev Bet]])</f>
        <v/>
      </c>
      <c r="M786" s="45">
        <f>IF(Table13232[[#This Row],[Lev Ret]]="",Table13232[[#This Row],[Lev Bet]]*-1,L786-K786)</f>
        <v>-100</v>
      </c>
      <c r="N786" s="135">
        <v>100</v>
      </c>
      <c r="O786" s="135" t="str">
        <f>IF(Table13232[[#This Row],[Fin]]&lt;&gt;"1st","",Table13232[[#This Row],[Div]]*Table13232[[#This Row],[Nat and Combo Bet]])</f>
        <v/>
      </c>
      <c r="P786" s="135">
        <f>IF(Table13232[[#This Row],[Lev Ret]]="",Table13232[[#This Row],[Nat and Combo Bet]]*-1,O786-N786)</f>
        <v>-100</v>
      </c>
      <c r="Q786" s="50">
        <f t="shared" si="36"/>
        <v>1</v>
      </c>
      <c r="R786" s="50">
        <f>IF(AND(Q785=2,Q786=1),"",IF(Q786=2,(N786+N787)/2,IF(Table13232[[#This Row],[Dual Listing]]=1,Table13232[[#This Row],[Nat and Combo Bet]],11)))</f>
        <v>100</v>
      </c>
      <c r="S786" s="50" t="str">
        <f t="shared" si="37"/>
        <v/>
      </c>
      <c r="T786" s="50">
        <f t="shared" si="38"/>
        <v>-100</v>
      </c>
      <c r="U786" s="50" t="str">
        <f>IF(Table13232[[#This Row],[Date]]&lt;$U$4,"","Live")</f>
        <v>Live</v>
      </c>
      <c r="V786" s="45" t="str">
        <f>TEXT(Table13232[[#This Row],[Date]],"DDD")</f>
        <v>Sat</v>
      </c>
      <c r="W786" s="45" t="str">
        <f>PROPER(TRIM(Table13232[[#This Row],[Horse]]))</f>
        <v>Captain Furai</v>
      </c>
    </row>
    <row r="787" spans="1:23" x14ac:dyDescent="0.25">
      <c r="A787" s="43">
        <v>46053</v>
      </c>
      <c r="B787" s="44">
        <v>0.51388888888888884</v>
      </c>
      <c r="C787" s="44" t="s">
        <v>526</v>
      </c>
      <c r="D787" s="45">
        <v>1</v>
      </c>
      <c r="E787" s="45">
        <v>6</v>
      </c>
      <c r="F787" s="46" t="s">
        <v>613</v>
      </c>
      <c r="G787" s="46" t="s">
        <v>23</v>
      </c>
      <c r="H787" s="47"/>
      <c r="I787" s="140" t="s">
        <v>297</v>
      </c>
      <c r="J787" s="45" t="str">
        <f>VLOOKUP(Table13232[[#This Row],[Track]],$C$836:$E$882,2,FALSE)</f>
        <v>Vic</v>
      </c>
      <c r="K787" s="49">
        <v>100</v>
      </c>
      <c r="L787" s="45" t="str">
        <f>IF(Table13232[[#This Row],[Fin]]&lt;&gt;"1st","",Table13232[[#This Row],[Div]]*Table13232[[#This Row],[Lev Bet]])</f>
        <v/>
      </c>
      <c r="M787" s="45">
        <f>IF(Table13232[[#This Row],[Lev Ret]]="",Table13232[[#This Row],[Lev Bet]]*-1,L787-K787)</f>
        <v>-100</v>
      </c>
      <c r="N787" s="135">
        <v>100</v>
      </c>
      <c r="O787" s="135" t="str">
        <f>IF(Table13232[[#This Row],[Fin]]&lt;&gt;"1st","",Table13232[[#This Row],[Div]]*Table13232[[#This Row],[Nat and Combo Bet]])</f>
        <v/>
      </c>
      <c r="P787" s="135">
        <f>IF(Table13232[[#This Row],[Lev Ret]]="",Table13232[[#This Row],[Nat and Combo Bet]]*-1,O787-N787)</f>
        <v>-100</v>
      </c>
      <c r="Q787" s="50">
        <f t="shared" si="36"/>
        <v>1</v>
      </c>
      <c r="R787" s="50">
        <f>IF(AND(Q786=2,Q787=1),"",IF(Q787=2,(N787+N788)/2,IF(Table13232[[#This Row],[Dual Listing]]=1,Table13232[[#This Row],[Nat and Combo Bet]],11)))</f>
        <v>100</v>
      </c>
      <c r="S787" s="50" t="str">
        <f t="shared" si="37"/>
        <v/>
      </c>
      <c r="T787" s="50">
        <f t="shared" si="38"/>
        <v>-100</v>
      </c>
      <c r="U787" s="50" t="str">
        <f>IF(Table13232[[#This Row],[Date]]&lt;$U$4,"","Live")</f>
        <v>Live</v>
      </c>
      <c r="V787" s="45" t="str">
        <f>TEXT(Table13232[[#This Row],[Date]],"DDD")</f>
        <v>Sat</v>
      </c>
      <c r="W787" s="45" t="str">
        <f>PROPER(TRIM(Table13232[[#This Row],[Horse]]))</f>
        <v>Jenni'S Meadow</v>
      </c>
    </row>
    <row r="788" spans="1:23" x14ac:dyDescent="0.25">
      <c r="A788" s="43">
        <v>46053</v>
      </c>
      <c r="B788" s="44">
        <v>0.57847222222222228</v>
      </c>
      <c r="C788" s="44" t="s">
        <v>12</v>
      </c>
      <c r="D788" s="45">
        <v>2</v>
      </c>
      <c r="E788" s="45">
        <v>11</v>
      </c>
      <c r="F788" s="46" t="s">
        <v>636</v>
      </c>
      <c r="G788" s="46" t="s">
        <v>23</v>
      </c>
      <c r="H788" s="47"/>
      <c r="I788" s="47" t="s">
        <v>298</v>
      </c>
      <c r="J788" s="45" t="str">
        <f>VLOOKUP(Table13232[[#This Row],[Track]],$C$836:$E$882,2,FALSE)</f>
        <v>Qld</v>
      </c>
      <c r="K788" s="49">
        <v>100</v>
      </c>
      <c r="L788" s="45" t="str">
        <f>IF(Table13232[[#This Row],[Fin]]&lt;&gt;"1st","",Table13232[[#This Row],[Div]]*Table13232[[#This Row],[Lev Bet]])</f>
        <v/>
      </c>
      <c r="M788" s="45">
        <f>IF(Table13232[[#This Row],[Lev Ret]]="",Table13232[[#This Row],[Lev Bet]]*-1,L788-K788)</f>
        <v>-100</v>
      </c>
      <c r="N788" s="135">
        <v>100</v>
      </c>
      <c r="O788" s="135" t="str">
        <f>IF(Table13232[[#This Row],[Fin]]&lt;&gt;"1st","",Table13232[[#This Row],[Div]]*Table13232[[#This Row],[Nat and Combo Bet]])</f>
        <v/>
      </c>
      <c r="P788" s="135">
        <f>IF(Table13232[[#This Row],[Lev Ret]]="",Table13232[[#This Row],[Nat and Combo Bet]]*-1,O788-N788)</f>
        <v>-100</v>
      </c>
      <c r="Q788" s="50">
        <f t="shared" si="36"/>
        <v>1</v>
      </c>
      <c r="R788" s="50">
        <f>IF(AND(Q787=2,Q788=1),"",IF(Q788=2,(N788+N789)/2,IF(Table13232[[#This Row],[Dual Listing]]=1,Table13232[[#This Row],[Nat and Combo Bet]],11)))</f>
        <v>100</v>
      </c>
      <c r="S788" s="50" t="str">
        <f t="shared" si="37"/>
        <v/>
      </c>
      <c r="T788" s="50">
        <f t="shared" si="38"/>
        <v>-100</v>
      </c>
      <c r="U788" s="50" t="str">
        <f>IF(Table13232[[#This Row],[Date]]&lt;$U$4,"","Live")</f>
        <v>Live</v>
      </c>
      <c r="V788" s="45" t="str">
        <f>TEXT(Table13232[[#This Row],[Date]],"DDD")</f>
        <v>Sat</v>
      </c>
      <c r="W788" s="45" t="str">
        <f>PROPER(TRIM(Table13232[[#This Row],[Horse]]))</f>
        <v>Spiethtacular</v>
      </c>
    </row>
    <row r="789" spans="1:23" x14ac:dyDescent="0.25">
      <c r="A789" s="43">
        <v>46053</v>
      </c>
      <c r="B789" s="44">
        <v>0.58333333333333337</v>
      </c>
      <c r="C789" s="44" t="s">
        <v>526</v>
      </c>
      <c r="D789" s="45">
        <v>4</v>
      </c>
      <c r="E789" s="45">
        <v>4</v>
      </c>
      <c r="F789" s="46" t="s">
        <v>614</v>
      </c>
      <c r="G789" s="46"/>
      <c r="H789" s="47"/>
      <c r="I789" s="140" t="s">
        <v>297</v>
      </c>
      <c r="J789" s="45" t="str">
        <f>VLOOKUP(Table13232[[#This Row],[Track]],$C$836:$E$882,2,FALSE)</f>
        <v>Vic</v>
      </c>
      <c r="K789" s="49">
        <v>100</v>
      </c>
      <c r="L789" s="45" t="str">
        <f>IF(Table13232[[#This Row],[Fin]]&lt;&gt;"1st","",Table13232[[#This Row],[Div]]*Table13232[[#This Row],[Lev Bet]])</f>
        <v/>
      </c>
      <c r="M789" s="45">
        <f>IF(Table13232[[#This Row],[Lev Ret]]="",Table13232[[#This Row],[Lev Bet]]*-1,L789-K789)</f>
        <v>-100</v>
      </c>
      <c r="N789" s="135">
        <v>50</v>
      </c>
      <c r="O789" s="135" t="str">
        <f>IF(Table13232[[#This Row],[Fin]]&lt;&gt;"1st","",Table13232[[#This Row],[Div]]*Table13232[[#This Row],[Nat and Combo Bet]])</f>
        <v/>
      </c>
      <c r="P789" s="135">
        <f>IF(Table13232[[#This Row],[Lev Ret]]="",Table13232[[#This Row],[Nat and Combo Bet]]*-1,O789-N789)</f>
        <v>-50</v>
      </c>
      <c r="Q789" s="50">
        <f t="shared" si="36"/>
        <v>1</v>
      </c>
      <c r="R789" s="50">
        <f>IF(AND(Q788=2,Q789=1),"",IF(Q789=2,(N789+N790)/2,IF(Table13232[[#This Row],[Dual Listing]]=1,Table13232[[#This Row],[Nat and Combo Bet]],11)))</f>
        <v>50</v>
      </c>
      <c r="S789" s="50" t="str">
        <f t="shared" si="37"/>
        <v/>
      </c>
      <c r="T789" s="50">
        <f t="shared" si="38"/>
        <v>-50</v>
      </c>
      <c r="U789" s="50" t="str">
        <f>IF(Table13232[[#This Row],[Date]]&lt;$U$4,"","Live")</f>
        <v>Live</v>
      </c>
      <c r="V789" s="45" t="str">
        <f>TEXT(Table13232[[#This Row],[Date]],"DDD")</f>
        <v>Sat</v>
      </c>
      <c r="W789" s="45" t="str">
        <f>PROPER(TRIM(Table13232[[#This Row],[Horse]]))</f>
        <v>Dictionary</v>
      </c>
    </row>
    <row r="790" spans="1:23" x14ac:dyDescent="0.25">
      <c r="A790" s="43">
        <v>46053</v>
      </c>
      <c r="B790" s="44">
        <v>0.58333333333333337</v>
      </c>
      <c r="C790" s="44" t="s">
        <v>526</v>
      </c>
      <c r="D790" s="45">
        <v>4</v>
      </c>
      <c r="E790" s="45">
        <v>6</v>
      </c>
      <c r="F790" s="46" t="s">
        <v>581</v>
      </c>
      <c r="G790" s="46" t="s">
        <v>23</v>
      </c>
      <c r="H790" s="47"/>
      <c r="I790" s="140" t="s">
        <v>297</v>
      </c>
      <c r="J790" s="45" t="str">
        <f>VLOOKUP(Table13232[[#This Row],[Track]],$C$836:$E$882,2,FALSE)</f>
        <v>Vic</v>
      </c>
      <c r="K790" s="49">
        <v>100</v>
      </c>
      <c r="L790" s="45" t="str">
        <f>IF(Table13232[[#This Row],[Fin]]&lt;&gt;"1st","",Table13232[[#This Row],[Div]]*Table13232[[#This Row],[Lev Bet]])</f>
        <v/>
      </c>
      <c r="M790" s="45">
        <f>IF(Table13232[[#This Row],[Lev Ret]]="",Table13232[[#This Row],[Lev Bet]]*-1,L790-K790)</f>
        <v>-100</v>
      </c>
      <c r="N790" s="135">
        <v>160</v>
      </c>
      <c r="O790" s="135" t="str">
        <f>IF(Table13232[[#This Row],[Fin]]&lt;&gt;"1st","",Table13232[[#This Row],[Div]]*Table13232[[#This Row],[Nat and Combo Bet]])</f>
        <v/>
      </c>
      <c r="P790" s="135">
        <f>IF(Table13232[[#This Row],[Lev Ret]]="",Table13232[[#This Row],[Nat and Combo Bet]]*-1,O790-N790)</f>
        <v>-160</v>
      </c>
      <c r="Q790" s="50">
        <f t="shared" si="36"/>
        <v>1</v>
      </c>
      <c r="R790" s="50">
        <f>IF(AND(Q789=2,Q790=1),"",IF(Q790=2,(N790+N791)/2,IF(Table13232[[#This Row],[Dual Listing]]=1,Table13232[[#This Row],[Nat and Combo Bet]],11)))</f>
        <v>160</v>
      </c>
      <c r="S790" s="50" t="str">
        <f t="shared" si="37"/>
        <v/>
      </c>
      <c r="T790" s="50">
        <f t="shared" si="38"/>
        <v>-160</v>
      </c>
      <c r="U790" s="50" t="str">
        <f>IF(Table13232[[#This Row],[Date]]&lt;$U$4,"","Live")</f>
        <v>Live</v>
      </c>
      <c r="V790" s="45" t="str">
        <f>TEXT(Table13232[[#This Row],[Date]],"DDD")</f>
        <v>Sat</v>
      </c>
      <c r="W790" s="45" t="str">
        <f>PROPER(TRIM(Table13232[[#This Row],[Horse]]))</f>
        <v>Sun Gift</v>
      </c>
    </row>
    <row r="791" spans="1:23" x14ac:dyDescent="0.25">
      <c r="A791" s="43">
        <v>46053</v>
      </c>
      <c r="B791" s="44">
        <v>0.60277777777777775</v>
      </c>
      <c r="C791" s="44" t="s">
        <v>12</v>
      </c>
      <c r="D791" s="45">
        <v>3</v>
      </c>
      <c r="E791" s="45">
        <v>8</v>
      </c>
      <c r="F791" s="46" t="s">
        <v>637</v>
      </c>
      <c r="G791" s="46" t="s">
        <v>23</v>
      </c>
      <c r="H791" s="47"/>
      <c r="I791" s="47" t="s">
        <v>298</v>
      </c>
      <c r="J791" s="45" t="str">
        <f>VLOOKUP(Table13232[[#This Row],[Track]],$C$836:$E$882,2,FALSE)</f>
        <v>Qld</v>
      </c>
      <c r="K791" s="49">
        <v>100</v>
      </c>
      <c r="L791" s="45" t="str">
        <f>IF(Table13232[[#This Row],[Fin]]&lt;&gt;"1st","",Table13232[[#This Row],[Div]]*Table13232[[#This Row],[Lev Bet]])</f>
        <v/>
      </c>
      <c r="M791" s="45">
        <f>IF(Table13232[[#This Row],[Lev Ret]]="",Table13232[[#This Row],[Lev Bet]]*-1,L791-K791)</f>
        <v>-100</v>
      </c>
      <c r="N791" s="135">
        <v>100</v>
      </c>
      <c r="O791" s="135" t="str">
        <f>IF(Table13232[[#This Row],[Fin]]&lt;&gt;"1st","",Table13232[[#This Row],[Div]]*Table13232[[#This Row],[Nat and Combo Bet]])</f>
        <v/>
      </c>
      <c r="P791" s="135">
        <f>IF(Table13232[[#This Row],[Lev Ret]]="",Table13232[[#This Row],[Nat and Combo Bet]]*-1,O791-N791)</f>
        <v>-100</v>
      </c>
      <c r="Q791" s="50">
        <f t="shared" si="36"/>
        <v>1</v>
      </c>
      <c r="R791" s="50">
        <f>IF(AND(Q790=2,Q791=1),"",IF(Q791=2,(N791+N792)/2,IF(Table13232[[#This Row],[Dual Listing]]=1,Table13232[[#This Row],[Nat and Combo Bet]],11)))</f>
        <v>100</v>
      </c>
      <c r="S791" s="50" t="str">
        <f t="shared" si="37"/>
        <v/>
      </c>
      <c r="T791" s="50">
        <f t="shared" si="38"/>
        <v>-100</v>
      </c>
      <c r="U791" s="50" t="str">
        <f>IF(Table13232[[#This Row],[Date]]&lt;$U$4,"","Live")</f>
        <v>Live</v>
      </c>
      <c r="V791" s="45" t="str">
        <f>TEXT(Table13232[[#This Row],[Date]],"DDD")</f>
        <v>Sat</v>
      </c>
      <c r="W791" s="45" t="str">
        <f>PROPER(TRIM(Table13232[[#This Row],[Horse]]))</f>
        <v>Akkadian Emperor</v>
      </c>
    </row>
    <row r="792" spans="1:23" x14ac:dyDescent="0.25">
      <c r="A792" s="43">
        <v>46053</v>
      </c>
      <c r="B792" s="44">
        <v>0.62152777777777779</v>
      </c>
      <c r="C792" s="44" t="s">
        <v>11</v>
      </c>
      <c r="D792" s="45">
        <v>5</v>
      </c>
      <c r="E792" s="45">
        <v>10</v>
      </c>
      <c r="F792" s="46" t="s">
        <v>615</v>
      </c>
      <c r="G792" s="46" t="s">
        <v>21</v>
      </c>
      <c r="H792" s="47">
        <v>2.4</v>
      </c>
      <c r="I792" s="140" t="s">
        <v>297</v>
      </c>
      <c r="J792" s="45" t="str">
        <f>VLOOKUP(Table13232[[#This Row],[Track]],$C$836:$E$882,2,FALSE)</f>
        <v>NSW</v>
      </c>
      <c r="K792" s="49">
        <v>100</v>
      </c>
      <c r="L792" s="45">
        <f>IF(Table13232[[#This Row],[Fin]]&lt;&gt;"1st","",Table13232[[#This Row],[Div]]*Table13232[[#This Row],[Lev Bet]])</f>
        <v>240</v>
      </c>
      <c r="M792" s="45">
        <f>IF(Table13232[[#This Row],[Lev Ret]]="",Table13232[[#This Row],[Lev Bet]]*-1,L792-K792)</f>
        <v>140</v>
      </c>
      <c r="N792" s="135">
        <v>150</v>
      </c>
      <c r="O792" s="135">
        <f>IF(Table13232[[#This Row],[Fin]]&lt;&gt;"1st","",Table13232[[#This Row],[Div]]*Table13232[[#This Row],[Nat and Combo Bet]])</f>
        <v>360</v>
      </c>
      <c r="P792" s="135">
        <f>IF(Table13232[[#This Row],[Lev Ret]]="",Table13232[[#This Row],[Nat and Combo Bet]]*-1,O792-N792)</f>
        <v>210</v>
      </c>
      <c r="Q792" s="50">
        <f t="shared" si="36"/>
        <v>1</v>
      </c>
      <c r="R792" s="50">
        <f>IF(AND(Q791=2,Q792=1),"",IF(Q792=2,(N792+N793)/2,IF(Table13232[[#This Row],[Dual Listing]]=1,Table13232[[#This Row],[Nat and Combo Bet]],11)))</f>
        <v>150</v>
      </c>
      <c r="S792" s="50">
        <f t="shared" si="37"/>
        <v>360</v>
      </c>
      <c r="T792" s="50">
        <f t="shared" si="38"/>
        <v>210</v>
      </c>
      <c r="U792" s="50" t="str">
        <f>IF(Table13232[[#This Row],[Date]]&lt;$U$4,"","Live")</f>
        <v>Live</v>
      </c>
      <c r="V792" s="45" t="str">
        <f>TEXT(Table13232[[#This Row],[Date]],"DDD")</f>
        <v>Sat</v>
      </c>
      <c r="W792" s="45" t="str">
        <f>PROPER(TRIM(Table13232[[#This Row],[Horse]]))</f>
        <v>Sovereign Hill</v>
      </c>
    </row>
    <row r="793" spans="1:23" x14ac:dyDescent="0.25">
      <c r="A793" s="43">
        <v>46053</v>
      </c>
      <c r="B793" s="44">
        <v>0.62708333333333333</v>
      </c>
      <c r="C793" s="44" t="s">
        <v>12</v>
      </c>
      <c r="D793" s="45">
        <v>4</v>
      </c>
      <c r="E793" s="45">
        <v>4</v>
      </c>
      <c r="F793" s="46" t="s">
        <v>638</v>
      </c>
      <c r="G793" s="46"/>
      <c r="H793" s="47"/>
      <c r="I793" s="47" t="s">
        <v>298</v>
      </c>
      <c r="J793" s="45" t="str">
        <f>VLOOKUP(Table13232[[#This Row],[Track]],$C$836:$E$882,2,FALSE)</f>
        <v>Qld</v>
      </c>
      <c r="K793" s="49">
        <v>100</v>
      </c>
      <c r="L793" s="45" t="str">
        <f>IF(Table13232[[#This Row],[Fin]]&lt;&gt;"1st","",Table13232[[#This Row],[Div]]*Table13232[[#This Row],[Lev Bet]])</f>
        <v/>
      </c>
      <c r="M793" s="45">
        <f>IF(Table13232[[#This Row],[Lev Ret]]="",Table13232[[#This Row],[Lev Bet]]*-1,L793-K793)</f>
        <v>-100</v>
      </c>
      <c r="N793" s="135">
        <v>100</v>
      </c>
      <c r="O793" s="135" t="str">
        <f>IF(Table13232[[#This Row],[Fin]]&lt;&gt;"1st","",Table13232[[#This Row],[Div]]*Table13232[[#This Row],[Nat and Combo Bet]])</f>
        <v/>
      </c>
      <c r="P793" s="135">
        <f>IF(Table13232[[#This Row],[Lev Ret]]="",Table13232[[#This Row],[Nat and Combo Bet]]*-1,O793-N793)</f>
        <v>-100</v>
      </c>
      <c r="Q793" s="50">
        <f t="shared" si="36"/>
        <v>1</v>
      </c>
      <c r="R793" s="50">
        <f>IF(AND(Q792=2,Q793=1),"",IF(Q793=2,(N793+N794)/2,IF(Table13232[[#This Row],[Dual Listing]]=1,Table13232[[#This Row],[Nat and Combo Bet]],11)))</f>
        <v>100</v>
      </c>
      <c r="S793" s="50" t="str">
        <f t="shared" si="37"/>
        <v/>
      </c>
      <c r="T793" s="50">
        <f t="shared" si="38"/>
        <v>-100</v>
      </c>
      <c r="U793" s="50" t="str">
        <f>IF(Table13232[[#This Row],[Date]]&lt;$U$4,"","Live")</f>
        <v>Live</v>
      </c>
      <c r="V793" s="45" t="str">
        <f>TEXT(Table13232[[#This Row],[Date]],"DDD")</f>
        <v>Sat</v>
      </c>
      <c r="W793" s="45" t="str">
        <f>PROPER(TRIM(Table13232[[#This Row],[Horse]]))</f>
        <v>Edited By</v>
      </c>
    </row>
    <row r="794" spans="1:23" x14ac:dyDescent="0.25">
      <c r="A794" s="43">
        <v>46053</v>
      </c>
      <c r="B794" s="44">
        <v>0.67013888888888884</v>
      </c>
      <c r="C794" s="44" t="s">
        <v>11</v>
      </c>
      <c r="D794" s="45">
        <v>7</v>
      </c>
      <c r="E794" s="45">
        <v>4</v>
      </c>
      <c r="F794" s="46" t="s">
        <v>295</v>
      </c>
      <c r="G794" s="46" t="s">
        <v>23</v>
      </c>
      <c r="H794" s="47"/>
      <c r="I794" s="140" t="s">
        <v>297</v>
      </c>
      <c r="J794" s="45" t="str">
        <f>VLOOKUP(Table13232[[#This Row],[Track]],$C$836:$E$882,2,FALSE)</f>
        <v>NSW</v>
      </c>
      <c r="K794" s="49">
        <v>100</v>
      </c>
      <c r="L794" s="45" t="str">
        <f>IF(Table13232[[#This Row],[Fin]]&lt;&gt;"1st","",Table13232[[#This Row],[Div]]*Table13232[[#This Row],[Lev Bet]])</f>
        <v/>
      </c>
      <c r="M794" s="45">
        <f>IF(Table13232[[#This Row],[Lev Ret]]="",Table13232[[#This Row],[Lev Bet]]*-1,L794-K794)</f>
        <v>-100</v>
      </c>
      <c r="N794" s="135">
        <v>150</v>
      </c>
      <c r="O794" s="135" t="str">
        <f>IF(Table13232[[#This Row],[Fin]]&lt;&gt;"1st","",Table13232[[#This Row],[Div]]*Table13232[[#This Row],[Nat and Combo Bet]])</f>
        <v/>
      </c>
      <c r="P794" s="135">
        <f>IF(Table13232[[#This Row],[Lev Ret]]="",Table13232[[#This Row],[Nat and Combo Bet]]*-1,O794-N794)</f>
        <v>-150</v>
      </c>
      <c r="Q794" s="50">
        <f t="shared" si="36"/>
        <v>1</v>
      </c>
      <c r="R794" s="50">
        <f>IF(AND(Q793=2,Q794=1),"",IF(Q794=2,(N794+N795)/2,IF(Table13232[[#This Row],[Dual Listing]]=1,Table13232[[#This Row],[Nat and Combo Bet]],11)))</f>
        <v>150</v>
      </c>
      <c r="S794" s="50" t="str">
        <f t="shared" si="37"/>
        <v/>
      </c>
      <c r="T794" s="50">
        <f t="shared" si="38"/>
        <v>-150</v>
      </c>
      <c r="U794" s="50" t="str">
        <f>IF(Table13232[[#This Row],[Date]]&lt;$U$4,"","Live")</f>
        <v>Live</v>
      </c>
      <c r="V794" s="45" t="str">
        <f>TEXT(Table13232[[#This Row],[Date]],"DDD")</f>
        <v>Sat</v>
      </c>
      <c r="W794" s="45" t="str">
        <f>PROPER(TRIM(Table13232[[#This Row],[Horse]]))</f>
        <v>Roselyn'S Star</v>
      </c>
    </row>
    <row r="795" spans="1:23" x14ac:dyDescent="0.25">
      <c r="A795" s="43">
        <v>46053</v>
      </c>
      <c r="B795" s="44">
        <v>0.67013888888888884</v>
      </c>
      <c r="C795" s="44" t="s">
        <v>11</v>
      </c>
      <c r="D795" s="45">
        <v>7</v>
      </c>
      <c r="E795" s="45">
        <v>9</v>
      </c>
      <c r="F795" s="46" t="s">
        <v>616</v>
      </c>
      <c r="G795" s="46" t="s">
        <v>21</v>
      </c>
      <c r="H795" s="47">
        <v>4.2</v>
      </c>
      <c r="I795" s="140" t="s">
        <v>297</v>
      </c>
      <c r="J795" s="45" t="str">
        <f>VLOOKUP(Table13232[[#This Row],[Track]],$C$836:$E$882,2,FALSE)</f>
        <v>NSW</v>
      </c>
      <c r="K795" s="49">
        <v>100</v>
      </c>
      <c r="L795" s="45">
        <f>IF(Table13232[[#This Row],[Fin]]&lt;&gt;"1st","",Table13232[[#This Row],[Div]]*Table13232[[#This Row],[Lev Bet]])</f>
        <v>420</v>
      </c>
      <c r="M795" s="45">
        <f>IF(Table13232[[#This Row],[Lev Ret]]="",Table13232[[#This Row],[Lev Bet]]*-1,L795-K795)</f>
        <v>320</v>
      </c>
      <c r="N795" s="135">
        <v>140</v>
      </c>
      <c r="O795" s="135">
        <f>IF(Table13232[[#This Row],[Fin]]&lt;&gt;"1st","",Table13232[[#This Row],[Div]]*Table13232[[#This Row],[Nat and Combo Bet]])</f>
        <v>588</v>
      </c>
      <c r="P795" s="135">
        <f>IF(Table13232[[#This Row],[Lev Ret]]="",Table13232[[#This Row],[Nat and Combo Bet]]*-1,O795-N795)</f>
        <v>448</v>
      </c>
      <c r="Q795" s="50">
        <f t="shared" si="36"/>
        <v>1</v>
      </c>
      <c r="R795" s="50">
        <f>IF(AND(Q794=2,Q795=1),"",IF(Q795=2,(N795+N796)/2,IF(Table13232[[#This Row],[Dual Listing]]=1,Table13232[[#This Row],[Nat and Combo Bet]],11)))</f>
        <v>140</v>
      </c>
      <c r="S795" s="50">
        <f t="shared" si="37"/>
        <v>588</v>
      </c>
      <c r="T795" s="50">
        <f t="shared" si="38"/>
        <v>448</v>
      </c>
      <c r="U795" s="50" t="str">
        <f>IF(Table13232[[#This Row],[Date]]&lt;$U$4,"","Live")</f>
        <v>Live</v>
      </c>
      <c r="V795" s="45" t="str">
        <f>TEXT(Table13232[[#This Row],[Date]],"DDD")</f>
        <v>Sat</v>
      </c>
      <c r="W795" s="45" t="str">
        <f>PROPER(TRIM(Table13232[[#This Row],[Horse]]))</f>
        <v>Sixties</v>
      </c>
    </row>
    <row r="796" spans="1:23" x14ac:dyDescent="0.25">
      <c r="A796" s="43">
        <v>46053</v>
      </c>
      <c r="B796" s="44">
        <v>0.68402777777777779</v>
      </c>
      <c r="C796" s="44" t="s">
        <v>526</v>
      </c>
      <c r="D796" s="45">
        <v>8</v>
      </c>
      <c r="E796" s="45">
        <v>4</v>
      </c>
      <c r="F796" s="46" t="s">
        <v>617</v>
      </c>
      <c r="G796" s="46"/>
      <c r="H796" s="47"/>
      <c r="I796" s="140" t="s">
        <v>297</v>
      </c>
      <c r="J796" s="45" t="str">
        <f>VLOOKUP(Table13232[[#This Row],[Track]],$C$836:$E$882,2,FALSE)</f>
        <v>Vic</v>
      </c>
      <c r="K796" s="49">
        <v>100</v>
      </c>
      <c r="L796" s="45" t="str">
        <f>IF(Table13232[[#This Row],[Fin]]&lt;&gt;"1st","",Table13232[[#This Row],[Div]]*Table13232[[#This Row],[Lev Bet]])</f>
        <v/>
      </c>
      <c r="M796" s="45">
        <f>IF(Table13232[[#This Row],[Lev Ret]]="",Table13232[[#This Row],[Lev Bet]]*-1,L796-K796)</f>
        <v>-100</v>
      </c>
      <c r="N796" s="135">
        <v>150</v>
      </c>
      <c r="O796" s="135" t="str">
        <f>IF(Table13232[[#This Row],[Fin]]&lt;&gt;"1st","",Table13232[[#This Row],[Div]]*Table13232[[#This Row],[Nat and Combo Bet]])</f>
        <v/>
      </c>
      <c r="P796" s="135">
        <f>IF(Table13232[[#This Row],[Lev Ret]]="",Table13232[[#This Row],[Nat and Combo Bet]]*-1,O796-N796)</f>
        <v>-150</v>
      </c>
      <c r="Q796" s="50">
        <f t="shared" si="36"/>
        <v>1</v>
      </c>
      <c r="R796" s="50">
        <f>IF(AND(Q795=2,Q796=1),"",IF(Q796=2,(N796+N797)/2,IF(Table13232[[#This Row],[Dual Listing]]=1,Table13232[[#This Row],[Nat and Combo Bet]],11)))</f>
        <v>150</v>
      </c>
      <c r="S796" s="50" t="str">
        <f t="shared" si="37"/>
        <v/>
      </c>
      <c r="T796" s="50">
        <f t="shared" si="38"/>
        <v>-150</v>
      </c>
      <c r="U796" s="50" t="str">
        <f>IF(Table13232[[#This Row],[Date]]&lt;$U$4,"","Live")</f>
        <v>Live</v>
      </c>
      <c r="V796" s="45" t="str">
        <f>TEXT(Table13232[[#This Row],[Date]],"DDD")</f>
        <v>Sat</v>
      </c>
      <c r="W796" s="45" t="str">
        <f>PROPER(TRIM(Table13232[[#This Row],[Horse]]))</f>
        <v>Rue De Royale</v>
      </c>
    </row>
    <row r="797" spans="1:23" x14ac:dyDescent="0.25">
      <c r="A797" s="43">
        <v>46053</v>
      </c>
      <c r="B797" s="44">
        <v>0.69791666666666663</v>
      </c>
      <c r="C797" s="44" t="s">
        <v>11</v>
      </c>
      <c r="D797" s="45">
        <v>8</v>
      </c>
      <c r="E797" s="45">
        <v>7</v>
      </c>
      <c r="F797" s="46" t="s">
        <v>618</v>
      </c>
      <c r="G797" s="46"/>
      <c r="H797" s="47"/>
      <c r="I797" s="140" t="s">
        <v>297</v>
      </c>
      <c r="J797" s="45" t="str">
        <f>VLOOKUP(Table13232[[#This Row],[Track]],$C$836:$E$882,2,FALSE)</f>
        <v>NSW</v>
      </c>
      <c r="K797" s="49">
        <v>100</v>
      </c>
      <c r="L797" s="45" t="str">
        <f>IF(Table13232[[#This Row],[Fin]]&lt;&gt;"1st","",Table13232[[#This Row],[Div]]*Table13232[[#This Row],[Lev Bet]])</f>
        <v/>
      </c>
      <c r="M797" s="45">
        <f>IF(Table13232[[#This Row],[Lev Ret]]="",Table13232[[#This Row],[Lev Bet]]*-1,L797-K797)</f>
        <v>-100</v>
      </c>
      <c r="N797" s="135">
        <v>100</v>
      </c>
      <c r="O797" s="135" t="str">
        <f>IF(Table13232[[#This Row],[Fin]]&lt;&gt;"1st","",Table13232[[#This Row],[Div]]*Table13232[[#This Row],[Nat and Combo Bet]])</f>
        <v/>
      </c>
      <c r="P797" s="135">
        <f>IF(Table13232[[#This Row],[Lev Ret]]="",Table13232[[#This Row],[Nat and Combo Bet]]*-1,O797-N797)</f>
        <v>-100</v>
      </c>
      <c r="Q797" s="50">
        <f t="shared" si="36"/>
        <v>1</v>
      </c>
      <c r="R797" s="50">
        <f>IF(AND(Q796=2,Q797=1),"",IF(Q797=2,(N797+N798)/2,IF(Table13232[[#This Row],[Dual Listing]]=1,Table13232[[#This Row],[Nat and Combo Bet]],11)))</f>
        <v>100</v>
      </c>
      <c r="S797" s="50" t="str">
        <f t="shared" si="37"/>
        <v/>
      </c>
      <c r="T797" s="50">
        <f t="shared" si="38"/>
        <v>-100</v>
      </c>
      <c r="U797" s="50" t="str">
        <f>IF(Table13232[[#This Row],[Date]]&lt;$U$4,"","Live")</f>
        <v>Live</v>
      </c>
      <c r="V797" s="45" t="str">
        <f>TEXT(Table13232[[#This Row],[Date]],"DDD")</f>
        <v>Sat</v>
      </c>
      <c r="W797" s="45" t="str">
        <f>PROPER(TRIM(Table13232[[#This Row],[Horse]]))</f>
        <v>Fire Star</v>
      </c>
    </row>
    <row r="798" spans="1:23" x14ac:dyDescent="0.25">
      <c r="A798" s="43">
        <v>46053</v>
      </c>
      <c r="B798" s="44">
        <v>0.72222222222222221</v>
      </c>
      <c r="C798" s="44" t="s">
        <v>11</v>
      </c>
      <c r="D798" s="45">
        <v>9</v>
      </c>
      <c r="E798" s="45">
        <v>8</v>
      </c>
      <c r="F798" s="46" t="s">
        <v>619</v>
      </c>
      <c r="G798" s="46" t="s">
        <v>23</v>
      </c>
      <c r="H798" s="47"/>
      <c r="I798" s="140" t="s">
        <v>297</v>
      </c>
      <c r="J798" s="45" t="str">
        <f>VLOOKUP(Table13232[[#This Row],[Track]],$C$836:$E$882,2,FALSE)</f>
        <v>NSW</v>
      </c>
      <c r="K798" s="49">
        <v>100</v>
      </c>
      <c r="L798" s="45" t="str">
        <f>IF(Table13232[[#This Row],[Fin]]&lt;&gt;"1st","",Table13232[[#This Row],[Div]]*Table13232[[#This Row],[Lev Bet]])</f>
        <v/>
      </c>
      <c r="M798" s="45">
        <f>IF(Table13232[[#This Row],[Lev Ret]]="",Table13232[[#This Row],[Lev Bet]]*-1,L798-K798)</f>
        <v>-100</v>
      </c>
      <c r="N798" s="135">
        <v>100</v>
      </c>
      <c r="O798" s="135" t="str">
        <f>IF(Table13232[[#This Row],[Fin]]&lt;&gt;"1st","",Table13232[[#This Row],[Div]]*Table13232[[#This Row],[Nat and Combo Bet]])</f>
        <v/>
      </c>
      <c r="P798" s="135">
        <f>IF(Table13232[[#This Row],[Lev Ret]]="",Table13232[[#This Row],[Nat and Combo Bet]]*-1,O798-N798)</f>
        <v>-100</v>
      </c>
      <c r="Q798" s="50">
        <f t="shared" si="36"/>
        <v>1</v>
      </c>
      <c r="R798" s="50">
        <f>IF(AND(Q797=2,Q798=1),"",IF(Q798=2,(N798+N799)/2,IF(Table13232[[#This Row],[Dual Listing]]=1,Table13232[[#This Row],[Nat and Combo Bet]],11)))</f>
        <v>100</v>
      </c>
      <c r="S798" s="50" t="str">
        <f t="shared" si="37"/>
        <v/>
      </c>
      <c r="T798" s="50">
        <f t="shared" si="38"/>
        <v>-100</v>
      </c>
      <c r="U798" s="50" t="str">
        <f>IF(Table13232[[#This Row],[Date]]&lt;$U$4,"","Live")</f>
        <v>Live</v>
      </c>
      <c r="V798" s="45" t="str">
        <f>TEXT(Table13232[[#This Row],[Date]],"DDD")</f>
        <v>Sat</v>
      </c>
      <c r="W798" s="45" t="str">
        <f>PROPER(TRIM(Table13232[[#This Row],[Horse]]))</f>
        <v>Existential Bob</v>
      </c>
    </row>
    <row r="799" spans="1:23" x14ac:dyDescent="0.25">
      <c r="A799" s="43">
        <v>46053</v>
      </c>
      <c r="B799" s="44">
        <v>0.73055555555555551</v>
      </c>
      <c r="C799" s="44" t="s">
        <v>12</v>
      </c>
      <c r="D799" s="45">
        <v>8</v>
      </c>
      <c r="E799" s="45">
        <v>2</v>
      </c>
      <c r="F799" s="46" t="s">
        <v>481</v>
      </c>
      <c r="G799" s="46" t="s">
        <v>21</v>
      </c>
      <c r="H799" s="47">
        <v>2.8</v>
      </c>
      <c r="I799" s="47" t="s">
        <v>298</v>
      </c>
      <c r="J799" s="45" t="str">
        <f>VLOOKUP(Table13232[[#This Row],[Track]],$C$836:$E$882,2,FALSE)</f>
        <v>Qld</v>
      </c>
      <c r="K799" s="49">
        <v>100</v>
      </c>
      <c r="L799" s="45">
        <f>IF(Table13232[[#This Row],[Fin]]&lt;&gt;"1st","",Table13232[[#This Row],[Div]]*Table13232[[#This Row],[Lev Bet]])</f>
        <v>280</v>
      </c>
      <c r="M799" s="45">
        <f>IF(Table13232[[#This Row],[Lev Ret]]="",Table13232[[#This Row],[Lev Bet]]*-1,L799-K799)</f>
        <v>180</v>
      </c>
      <c r="N799" s="135">
        <v>100</v>
      </c>
      <c r="O799" s="135">
        <f>IF(Table13232[[#This Row],[Fin]]&lt;&gt;"1st","",Table13232[[#This Row],[Div]]*Table13232[[#This Row],[Nat and Combo Bet]])</f>
        <v>280</v>
      </c>
      <c r="P799" s="135">
        <f>IF(Table13232[[#This Row],[Lev Ret]]="",Table13232[[#This Row],[Nat and Combo Bet]]*-1,O799-N799)</f>
        <v>180</v>
      </c>
      <c r="Q799" s="50">
        <f t="shared" si="36"/>
        <v>1</v>
      </c>
      <c r="R799" s="50">
        <f>IF(AND(Q798=2,Q799=1),"",IF(Q799=2,(N799+N800)/2,IF(Table13232[[#This Row],[Dual Listing]]=1,Table13232[[#This Row],[Nat and Combo Bet]],11)))</f>
        <v>100</v>
      </c>
      <c r="S799" s="50">
        <f t="shared" si="37"/>
        <v>280</v>
      </c>
      <c r="T799" s="50">
        <f t="shared" si="38"/>
        <v>180</v>
      </c>
      <c r="U799" s="50" t="str">
        <f>IF(Table13232[[#This Row],[Date]]&lt;$U$4,"","Live")</f>
        <v>Live</v>
      </c>
      <c r="V799" s="45" t="str">
        <f>TEXT(Table13232[[#This Row],[Date]],"DDD")</f>
        <v>Sat</v>
      </c>
      <c r="W799" s="45" t="str">
        <f>PROPER(TRIM(Table13232[[#This Row],[Horse]]))</f>
        <v>Battlefield</v>
      </c>
    </row>
    <row r="800" spans="1:23" x14ac:dyDescent="0.25">
      <c r="A800" s="43">
        <v>46053</v>
      </c>
      <c r="B800" s="44">
        <v>0.73611111111111116</v>
      </c>
      <c r="C800" s="44" t="s">
        <v>526</v>
      </c>
      <c r="D800" s="45">
        <v>10</v>
      </c>
      <c r="E800" s="45">
        <v>9</v>
      </c>
      <c r="F800" s="46" t="s">
        <v>620</v>
      </c>
      <c r="G800" s="46"/>
      <c r="H800" s="47"/>
      <c r="I800" s="140" t="s">
        <v>297</v>
      </c>
      <c r="J800" s="45" t="str">
        <f>VLOOKUP(Table13232[[#This Row],[Track]],$C$836:$E$882,2,FALSE)</f>
        <v>Vic</v>
      </c>
      <c r="K800" s="49">
        <v>100</v>
      </c>
      <c r="L800" s="45" t="str">
        <f>IF(Table13232[[#This Row],[Fin]]&lt;&gt;"1st","",Table13232[[#This Row],[Div]]*Table13232[[#This Row],[Lev Bet]])</f>
        <v/>
      </c>
      <c r="M800" s="45">
        <f>IF(Table13232[[#This Row],[Lev Ret]]="",Table13232[[#This Row],[Lev Bet]]*-1,L800-K800)</f>
        <v>-100</v>
      </c>
      <c r="N800" s="135">
        <v>150</v>
      </c>
      <c r="O800" s="135" t="str">
        <f>IF(Table13232[[#This Row],[Fin]]&lt;&gt;"1st","",Table13232[[#This Row],[Div]]*Table13232[[#This Row],[Nat and Combo Bet]])</f>
        <v/>
      </c>
      <c r="P800" s="135">
        <f>IF(Table13232[[#This Row],[Lev Ret]]="",Table13232[[#This Row],[Nat and Combo Bet]]*-1,O800-N800)</f>
        <v>-150</v>
      </c>
      <c r="Q800" s="50">
        <f t="shared" si="36"/>
        <v>1</v>
      </c>
      <c r="R800" s="50">
        <f>IF(AND(Q799=2,Q800=1),"",IF(Q800=2,(N800+N801)/2,IF(Table13232[[#This Row],[Dual Listing]]=1,Table13232[[#This Row],[Nat and Combo Bet]],11)))</f>
        <v>150</v>
      </c>
      <c r="S800" s="50" t="str">
        <f t="shared" si="37"/>
        <v/>
      </c>
      <c r="T800" s="50">
        <f t="shared" si="38"/>
        <v>-150</v>
      </c>
      <c r="U800" s="50" t="str">
        <f>IF(Table13232[[#This Row],[Date]]&lt;$U$4,"","Live")</f>
        <v>Live</v>
      </c>
      <c r="V800" s="45" t="str">
        <f>TEXT(Table13232[[#This Row],[Date]],"DDD")</f>
        <v>Sat</v>
      </c>
      <c r="W800" s="45" t="str">
        <f>PROPER(TRIM(Table13232[[#This Row],[Horse]]))</f>
        <v>Porter</v>
      </c>
    </row>
    <row r="801" spans="1:23" x14ac:dyDescent="0.25">
      <c r="A801" s="43">
        <v>46053</v>
      </c>
      <c r="B801" s="44">
        <v>0.73611111111111116</v>
      </c>
      <c r="C801" s="44" t="s">
        <v>34</v>
      </c>
      <c r="D801" s="45">
        <v>10</v>
      </c>
      <c r="E801" s="45">
        <v>6</v>
      </c>
      <c r="F801" s="46" t="s">
        <v>582</v>
      </c>
      <c r="G801" s="46"/>
      <c r="H801" s="47"/>
      <c r="I801" s="47" t="s">
        <v>298</v>
      </c>
      <c r="J801" s="45" t="str">
        <f>VLOOKUP(Table13232[[#This Row],[Track]],$C$836:$E$882,2,FALSE)</f>
        <v>Vic</v>
      </c>
      <c r="K801" s="49">
        <v>100</v>
      </c>
      <c r="L801" s="45" t="str">
        <f>IF(Table13232[[#This Row],[Fin]]&lt;&gt;"1st","",Table13232[[#This Row],[Div]]*Table13232[[#This Row],[Lev Bet]])</f>
        <v/>
      </c>
      <c r="M801" s="45">
        <f>IF(Table13232[[#This Row],[Lev Ret]]="",Table13232[[#This Row],[Lev Bet]]*-1,L801-K801)</f>
        <v>-100</v>
      </c>
      <c r="N801" s="135">
        <v>100</v>
      </c>
      <c r="O801" s="135" t="str">
        <f>IF(Table13232[[#This Row],[Fin]]&lt;&gt;"1st","",Table13232[[#This Row],[Div]]*Table13232[[#This Row],[Nat and Combo Bet]])</f>
        <v/>
      </c>
      <c r="P801" s="135">
        <f>IF(Table13232[[#This Row],[Lev Ret]]="",Table13232[[#This Row],[Nat and Combo Bet]]*-1,O801-N801)</f>
        <v>-100</v>
      </c>
      <c r="Q801" s="50">
        <f t="shared" si="36"/>
        <v>1</v>
      </c>
      <c r="R801" s="50">
        <f>IF(AND(Q800=2,Q801=1),"",IF(Q801=2,(N801+N802)/2,IF(Table13232[[#This Row],[Dual Listing]]=1,Table13232[[#This Row],[Nat and Combo Bet]],11)))</f>
        <v>100</v>
      </c>
      <c r="S801" s="50" t="str">
        <f t="shared" si="37"/>
        <v/>
      </c>
      <c r="T801" s="50">
        <f t="shared" si="38"/>
        <v>-100</v>
      </c>
      <c r="U801" s="50" t="str">
        <f>IF(Table13232[[#This Row],[Date]]&lt;$U$4,"","Live")</f>
        <v>Live</v>
      </c>
      <c r="V801" s="45" t="str">
        <f>TEXT(Table13232[[#This Row],[Date]],"DDD")</f>
        <v>Sat</v>
      </c>
      <c r="W801" s="45" t="str">
        <f>PROPER(TRIM(Table13232[[#This Row],[Horse]]))</f>
        <v>Zouper Fund</v>
      </c>
    </row>
    <row r="802" spans="1:23" x14ac:dyDescent="0.25">
      <c r="A802" s="43">
        <v>46053</v>
      </c>
      <c r="B802" s="44">
        <v>0.74652777777777779</v>
      </c>
      <c r="C802" s="44" t="s">
        <v>11</v>
      </c>
      <c r="D802" s="45">
        <v>10</v>
      </c>
      <c r="E802" s="45">
        <v>13</v>
      </c>
      <c r="F802" s="46" t="s">
        <v>621</v>
      </c>
      <c r="G802" s="46" t="s">
        <v>22</v>
      </c>
      <c r="H802" s="47"/>
      <c r="I802" s="140" t="s">
        <v>297</v>
      </c>
      <c r="J802" s="45" t="str">
        <f>VLOOKUP(Table13232[[#This Row],[Track]],$C$836:$E$882,2,FALSE)</f>
        <v>NSW</v>
      </c>
      <c r="K802" s="49">
        <v>100</v>
      </c>
      <c r="L802" s="45" t="str">
        <f>IF(Table13232[[#This Row],[Fin]]&lt;&gt;"1st","",Table13232[[#This Row],[Div]]*Table13232[[#This Row],[Lev Bet]])</f>
        <v/>
      </c>
      <c r="M802" s="45">
        <f>IF(Table13232[[#This Row],[Lev Ret]]="",Table13232[[#This Row],[Lev Bet]]*-1,L802-K802)</f>
        <v>-100</v>
      </c>
      <c r="N802" s="135">
        <v>150</v>
      </c>
      <c r="O802" s="135" t="str">
        <f>IF(Table13232[[#This Row],[Fin]]&lt;&gt;"1st","",Table13232[[#This Row],[Div]]*Table13232[[#This Row],[Nat and Combo Bet]])</f>
        <v/>
      </c>
      <c r="P802" s="135">
        <f>IF(Table13232[[#This Row],[Lev Ret]]="",Table13232[[#This Row],[Nat and Combo Bet]]*-1,O802-N802)</f>
        <v>-150</v>
      </c>
      <c r="Q802" s="50">
        <f t="shared" si="36"/>
        <v>1</v>
      </c>
      <c r="R802" s="50">
        <f>IF(AND(Q801=2,Q802=1),"",IF(Q802=2,(N802+N803)/2,IF(Table13232[[#This Row],[Dual Listing]]=1,Table13232[[#This Row],[Nat and Combo Bet]],11)))</f>
        <v>150</v>
      </c>
      <c r="S802" s="50" t="str">
        <f t="shared" si="37"/>
        <v/>
      </c>
      <c r="T802" s="50">
        <f t="shared" si="38"/>
        <v>-150</v>
      </c>
      <c r="U802" s="50" t="str">
        <f>IF(Table13232[[#This Row],[Date]]&lt;$U$4,"","Live")</f>
        <v>Live</v>
      </c>
      <c r="V802" s="45" t="str">
        <f>TEXT(Table13232[[#This Row],[Date]],"DDD")</f>
        <v>Sat</v>
      </c>
      <c r="W802" s="45" t="str">
        <f>PROPER(TRIM(Table13232[[#This Row],[Horse]]))</f>
        <v>Nepo Baby</v>
      </c>
    </row>
    <row r="803" spans="1:23" x14ac:dyDescent="0.25">
      <c r="A803" s="43">
        <v>46053</v>
      </c>
      <c r="B803" s="44">
        <v>0.75694444444444442</v>
      </c>
      <c r="C803" s="44" t="s">
        <v>12</v>
      </c>
      <c r="D803" s="45">
        <v>9</v>
      </c>
      <c r="E803" s="45">
        <v>12</v>
      </c>
      <c r="F803" s="46" t="s">
        <v>639</v>
      </c>
      <c r="G803" s="46" t="s">
        <v>21</v>
      </c>
      <c r="H803" s="47">
        <v>4.2</v>
      </c>
      <c r="I803" s="47" t="s">
        <v>298</v>
      </c>
      <c r="J803" s="45" t="str">
        <f>VLOOKUP(Table13232[[#This Row],[Track]],$C$836:$E$882,2,FALSE)</f>
        <v>Qld</v>
      </c>
      <c r="K803" s="49">
        <v>100</v>
      </c>
      <c r="L803" s="45">
        <f>IF(Table13232[[#This Row],[Fin]]&lt;&gt;"1st","",Table13232[[#This Row],[Div]]*Table13232[[#This Row],[Lev Bet]])</f>
        <v>420</v>
      </c>
      <c r="M803" s="45">
        <f>IF(Table13232[[#This Row],[Lev Ret]]="",Table13232[[#This Row],[Lev Bet]]*-1,L803-K803)</f>
        <v>320</v>
      </c>
      <c r="N803" s="135">
        <v>100</v>
      </c>
      <c r="O803" s="135">
        <f>IF(Table13232[[#This Row],[Fin]]&lt;&gt;"1st","",Table13232[[#This Row],[Div]]*Table13232[[#This Row],[Nat and Combo Bet]])</f>
        <v>420</v>
      </c>
      <c r="P803" s="135">
        <f>IF(Table13232[[#This Row],[Lev Ret]]="",Table13232[[#This Row],[Nat and Combo Bet]]*-1,O803-N803)</f>
        <v>320</v>
      </c>
      <c r="Q803" s="50">
        <f t="shared" ref="Q803:Q823" si="39">IF(AND(A804=A803,F804=F803),2,1)</f>
        <v>1</v>
      </c>
      <c r="R803" s="50">
        <f>IF(AND(Q802=2,Q803=1),"",IF(Q803=2,(N803+N804)/2,IF(Table13232[[#This Row],[Dual Listing]]=1,Table13232[[#This Row],[Nat and Combo Bet]],11)))</f>
        <v>100</v>
      </c>
      <c r="S803" s="50">
        <f t="shared" ref="S803:S823" si="40">IF(R803="","",IF(O803="","",R803*H803))</f>
        <v>420</v>
      </c>
      <c r="T803" s="50">
        <f t="shared" ref="T803:T823" si="41">IF(R803="","",IF(S803="",R803*-1,S803-R803))</f>
        <v>320</v>
      </c>
      <c r="U803" s="50" t="str">
        <f>IF(Table13232[[#This Row],[Date]]&lt;$U$4,"","Live")</f>
        <v>Live</v>
      </c>
      <c r="V803" s="45" t="str">
        <f>TEXT(Table13232[[#This Row],[Date]],"DDD")</f>
        <v>Sat</v>
      </c>
      <c r="W803" s="45" t="str">
        <f>PROPER(TRIM(Table13232[[#This Row],[Horse]]))</f>
        <v>Tiger Tie</v>
      </c>
    </row>
    <row r="804" spans="1:23" x14ac:dyDescent="0.25">
      <c r="A804" s="43">
        <v>46053</v>
      </c>
      <c r="B804" s="44">
        <v>0.78333333333333333</v>
      </c>
      <c r="C804" s="44" t="s">
        <v>12</v>
      </c>
      <c r="D804" s="45">
        <v>10</v>
      </c>
      <c r="E804" s="45">
        <v>11</v>
      </c>
      <c r="F804" s="46" t="s">
        <v>640</v>
      </c>
      <c r="G804" s="46"/>
      <c r="H804" s="47"/>
      <c r="I804" s="47" t="s">
        <v>298</v>
      </c>
      <c r="J804" s="45" t="str">
        <f>VLOOKUP(Table13232[[#This Row],[Track]],$C$836:$E$882,2,FALSE)</f>
        <v>Qld</v>
      </c>
      <c r="K804" s="49">
        <v>100</v>
      </c>
      <c r="L804" s="45" t="str">
        <f>IF(Table13232[[#This Row],[Fin]]&lt;&gt;"1st","",Table13232[[#This Row],[Div]]*Table13232[[#This Row],[Lev Bet]])</f>
        <v/>
      </c>
      <c r="M804" s="45">
        <f>IF(Table13232[[#This Row],[Lev Ret]]="",Table13232[[#This Row],[Lev Bet]]*-1,L804-K804)</f>
        <v>-100</v>
      </c>
      <c r="N804" s="135">
        <v>100</v>
      </c>
      <c r="O804" s="135" t="str">
        <f>IF(Table13232[[#This Row],[Fin]]&lt;&gt;"1st","",Table13232[[#This Row],[Div]]*Table13232[[#This Row],[Nat and Combo Bet]])</f>
        <v/>
      </c>
      <c r="P804" s="135">
        <f>IF(Table13232[[#This Row],[Lev Ret]]="",Table13232[[#This Row],[Nat and Combo Bet]]*-1,O804-N804)</f>
        <v>-100</v>
      </c>
      <c r="Q804" s="50">
        <f t="shared" si="39"/>
        <v>1</v>
      </c>
      <c r="R804" s="50">
        <f>IF(AND(Q803=2,Q804=1),"",IF(Q804=2,(N804+N805)/2,IF(Table13232[[#This Row],[Dual Listing]]=1,Table13232[[#This Row],[Nat and Combo Bet]],11)))</f>
        <v>100</v>
      </c>
      <c r="S804" s="50" t="str">
        <f t="shared" si="40"/>
        <v/>
      </c>
      <c r="T804" s="50">
        <f t="shared" si="41"/>
        <v>-100</v>
      </c>
      <c r="U804" s="50" t="str">
        <f>IF(Table13232[[#This Row],[Date]]&lt;$U$4,"","Live")</f>
        <v>Live</v>
      </c>
      <c r="V804" s="45" t="str">
        <f>TEXT(Table13232[[#This Row],[Date]],"DDD")</f>
        <v>Sat</v>
      </c>
      <c r="W804" s="45" t="str">
        <f>PROPER(TRIM(Table13232[[#This Row],[Horse]]))</f>
        <v>True Amor</v>
      </c>
    </row>
    <row r="805" spans="1:23" s="160" customFormat="1" x14ac:dyDescent="0.25">
      <c r="A805" s="136">
        <v>46060</v>
      </c>
      <c r="B805" s="137">
        <v>0.53125</v>
      </c>
      <c r="C805" s="137" t="s">
        <v>526</v>
      </c>
      <c r="D805" s="138">
        <v>2</v>
      </c>
      <c r="E805" s="138">
        <v>2</v>
      </c>
      <c r="F805" s="139" t="s">
        <v>645</v>
      </c>
      <c r="G805" s="139" t="s">
        <v>23</v>
      </c>
      <c r="H805" s="140"/>
      <c r="I805" s="140" t="s">
        <v>297</v>
      </c>
      <c r="J805" s="138" t="str">
        <f>VLOOKUP(Table13232[[#This Row],[Track]],$C$836:$E$882,2,FALSE)</f>
        <v>Vic</v>
      </c>
      <c r="K805" s="158">
        <v>100</v>
      </c>
      <c r="L805" s="138" t="str">
        <f>IF(Table13232[[#This Row],[Fin]]&lt;&gt;"1st","",Table13232[[#This Row],[Div]]*Table13232[[#This Row],[Lev Bet]])</f>
        <v/>
      </c>
      <c r="M805" s="138">
        <f>IF(Table13232[[#This Row],[Lev Ret]]="",Table13232[[#This Row],[Lev Bet]]*-1,L805-K805)</f>
        <v>-100</v>
      </c>
      <c r="N805" s="159">
        <v>150</v>
      </c>
      <c r="O805" s="159" t="str">
        <f>IF(Table13232[[#This Row],[Fin]]&lt;&gt;"1st","",Table13232[[#This Row],[Div]]*Table13232[[#This Row],[Nat and Combo Bet]])</f>
        <v/>
      </c>
      <c r="P805" s="159">
        <f>IF(Table13232[[#This Row],[Lev Ret]]="",Table13232[[#This Row],[Nat and Combo Bet]]*-1,O805-N805)</f>
        <v>-150</v>
      </c>
      <c r="Q805" s="138">
        <f t="shared" si="39"/>
        <v>1</v>
      </c>
      <c r="R805" s="138">
        <f>IF(AND(Q804=2,Q805=1),"",IF(Q805=2,(N805+N806)/2,IF(Table13232[[#This Row],[Dual Listing]]=1,Table13232[[#This Row],[Nat and Combo Bet]],11)))</f>
        <v>150</v>
      </c>
      <c r="S805" s="138" t="str">
        <f t="shared" si="40"/>
        <v/>
      </c>
      <c r="T805" s="138">
        <f t="shared" si="41"/>
        <v>-150</v>
      </c>
      <c r="U805" s="138" t="str">
        <f>IF(Table13232[[#This Row],[Date]]&lt;$U$4,"","Live")</f>
        <v>Live</v>
      </c>
      <c r="V805" s="138" t="str">
        <f>TEXT(Table13232[[#This Row],[Date]],"DDD")</f>
        <v>Sat</v>
      </c>
      <c r="W805" s="138" t="str">
        <f>PROPER(TRIM(Table13232[[#This Row],[Horse]]))</f>
        <v>Magnaspin</v>
      </c>
    </row>
    <row r="806" spans="1:23" s="160" customFormat="1" x14ac:dyDescent="0.25">
      <c r="A806" s="136">
        <v>46060</v>
      </c>
      <c r="B806" s="137">
        <v>0.53125</v>
      </c>
      <c r="C806" s="137" t="s">
        <v>34</v>
      </c>
      <c r="D806" s="138">
        <v>2</v>
      </c>
      <c r="E806" s="138">
        <v>3</v>
      </c>
      <c r="F806" s="139" t="s">
        <v>594</v>
      </c>
      <c r="G806" s="139" t="s">
        <v>21</v>
      </c>
      <c r="H806" s="140">
        <v>1.8</v>
      </c>
      <c r="I806" s="47" t="s">
        <v>298</v>
      </c>
      <c r="J806" s="138" t="str">
        <f>VLOOKUP(Table13232[[#This Row],[Track]],$C$836:$E$882,2,FALSE)</f>
        <v>Vic</v>
      </c>
      <c r="K806" s="158">
        <v>100</v>
      </c>
      <c r="L806" s="138">
        <f>IF(Table13232[[#This Row],[Fin]]&lt;&gt;"1st","",Table13232[[#This Row],[Div]]*Table13232[[#This Row],[Lev Bet]])</f>
        <v>180</v>
      </c>
      <c r="M806" s="138">
        <f>IF(Table13232[[#This Row],[Lev Ret]]="",Table13232[[#This Row],[Lev Bet]]*-1,L806-K806)</f>
        <v>80</v>
      </c>
      <c r="N806" s="159">
        <v>100</v>
      </c>
      <c r="O806" s="159">
        <f>IF(Table13232[[#This Row],[Fin]]&lt;&gt;"1st","",Table13232[[#This Row],[Div]]*Table13232[[#This Row],[Nat and Combo Bet]])</f>
        <v>180</v>
      </c>
      <c r="P806" s="159">
        <f>IF(Table13232[[#This Row],[Lev Ret]]="",Table13232[[#This Row],[Nat and Combo Bet]]*-1,O806-N806)</f>
        <v>80</v>
      </c>
      <c r="Q806" s="138">
        <f t="shared" si="39"/>
        <v>1</v>
      </c>
      <c r="R806" s="138">
        <f>IF(AND(Q805=2,Q806=1),"",IF(Q806=2,(N806+N807)/2,IF(Table13232[[#This Row],[Dual Listing]]=1,Table13232[[#This Row],[Nat and Combo Bet]],11)))</f>
        <v>100</v>
      </c>
      <c r="S806" s="138">
        <f t="shared" si="40"/>
        <v>180</v>
      </c>
      <c r="T806" s="138">
        <f t="shared" si="41"/>
        <v>80</v>
      </c>
      <c r="U806" s="138" t="str">
        <f>IF(Table13232[[#This Row],[Date]]&lt;$U$4,"","Live")</f>
        <v>Live</v>
      </c>
      <c r="V806" s="138" t="str">
        <f>TEXT(Table13232[[#This Row],[Date]],"DDD")</f>
        <v>Sat</v>
      </c>
      <c r="W806" s="138" t="str">
        <f>PROPER(TRIM(Table13232[[#This Row],[Horse]]))</f>
        <v>Suntora</v>
      </c>
    </row>
    <row r="807" spans="1:23" s="160" customFormat="1" x14ac:dyDescent="0.25">
      <c r="A807" s="136">
        <v>46060</v>
      </c>
      <c r="B807" s="137">
        <v>0.59375</v>
      </c>
      <c r="C807" s="137" t="s">
        <v>13</v>
      </c>
      <c r="D807" s="138">
        <v>4</v>
      </c>
      <c r="E807" s="138">
        <v>7</v>
      </c>
      <c r="F807" s="139" t="s">
        <v>646</v>
      </c>
      <c r="G807" s="139" t="s">
        <v>22</v>
      </c>
      <c r="H807" s="140"/>
      <c r="I807" s="140" t="s">
        <v>297</v>
      </c>
      <c r="J807" s="138" t="str">
        <f>VLOOKUP(Table13232[[#This Row],[Track]],$C$836:$E$882,2,FALSE)</f>
        <v>NSW</v>
      </c>
      <c r="K807" s="158">
        <v>100</v>
      </c>
      <c r="L807" s="138" t="str">
        <f>IF(Table13232[[#This Row],[Fin]]&lt;&gt;"1st","",Table13232[[#This Row],[Div]]*Table13232[[#This Row],[Lev Bet]])</f>
        <v/>
      </c>
      <c r="M807" s="138">
        <f>IF(Table13232[[#This Row],[Lev Ret]]="",Table13232[[#This Row],[Lev Bet]]*-1,L807-K807)</f>
        <v>-100</v>
      </c>
      <c r="N807" s="159">
        <v>150</v>
      </c>
      <c r="O807" s="159" t="str">
        <f>IF(Table13232[[#This Row],[Fin]]&lt;&gt;"1st","",Table13232[[#This Row],[Div]]*Table13232[[#This Row],[Nat and Combo Bet]])</f>
        <v/>
      </c>
      <c r="P807" s="159">
        <f>IF(Table13232[[#This Row],[Lev Ret]]="",Table13232[[#This Row],[Nat and Combo Bet]]*-1,O807-N807)</f>
        <v>-150</v>
      </c>
      <c r="Q807" s="138">
        <f t="shared" si="39"/>
        <v>1</v>
      </c>
      <c r="R807" s="138">
        <f>IF(AND(Q806=2,Q807=1),"",IF(Q807=2,(N807+N808)/2,IF(Table13232[[#This Row],[Dual Listing]]=1,Table13232[[#This Row],[Nat and Combo Bet]],11)))</f>
        <v>150</v>
      </c>
      <c r="S807" s="138" t="str">
        <f t="shared" si="40"/>
        <v/>
      </c>
      <c r="T807" s="138">
        <f t="shared" si="41"/>
        <v>-150</v>
      </c>
      <c r="U807" s="138" t="str">
        <f>IF(Table13232[[#This Row],[Date]]&lt;$U$4,"","Live")</f>
        <v>Live</v>
      </c>
      <c r="V807" s="138" t="str">
        <f>TEXT(Table13232[[#This Row],[Date]],"DDD")</f>
        <v>Sat</v>
      </c>
      <c r="W807" s="138" t="str">
        <f>PROPER(TRIM(Table13232[[#This Row],[Horse]]))</f>
        <v>Lancelot Du Lac</v>
      </c>
    </row>
    <row r="808" spans="1:23" s="160" customFormat="1" x14ac:dyDescent="0.25">
      <c r="A808" s="136">
        <v>46060</v>
      </c>
      <c r="B808" s="137">
        <v>0.61805555555555558</v>
      </c>
      <c r="C808" s="137" t="s">
        <v>13</v>
      </c>
      <c r="D808" s="138">
        <v>5</v>
      </c>
      <c r="E808" s="138">
        <v>7</v>
      </c>
      <c r="F808" s="139" t="s">
        <v>647</v>
      </c>
      <c r="G808" s="139" t="s">
        <v>22</v>
      </c>
      <c r="H808" s="140"/>
      <c r="I808" s="140" t="s">
        <v>297</v>
      </c>
      <c r="J808" s="138" t="str">
        <f>VLOOKUP(Table13232[[#This Row],[Track]],$C$836:$E$882,2,FALSE)</f>
        <v>NSW</v>
      </c>
      <c r="K808" s="158">
        <v>100</v>
      </c>
      <c r="L808" s="138" t="str">
        <f>IF(Table13232[[#This Row],[Fin]]&lt;&gt;"1st","",Table13232[[#This Row],[Div]]*Table13232[[#This Row],[Lev Bet]])</f>
        <v/>
      </c>
      <c r="M808" s="138">
        <f>IF(Table13232[[#This Row],[Lev Ret]]="",Table13232[[#This Row],[Lev Bet]]*-1,L808-K808)</f>
        <v>-100</v>
      </c>
      <c r="N808" s="159">
        <v>200</v>
      </c>
      <c r="O808" s="159" t="str">
        <f>IF(Table13232[[#This Row],[Fin]]&lt;&gt;"1st","",Table13232[[#This Row],[Div]]*Table13232[[#This Row],[Nat and Combo Bet]])</f>
        <v/>
      </c>
      <c r="P808" s="159">
        <f>IF(Table13232[[#This Row],[Lev Ret]]="",Table13232[[#This Row],[Nat and Combo Bet]]*-1,O808-N808)</f>
        <v>-200</v>
      </c>
      <c r="Q808" s="138">
        <f t="shared" si="39"/>
        <v>1</v>
      </c>
      <c r="R808" s="138">
        <f>IF(AND(Q807=2,Q808=1),"",IF(Q808=2,(N808+N809)/2,IF(Table13232[[#This Row],[Dual Listing]]=1,Table13232[[#This Row],[Nat and Combo Bet]],11)))</f>
        <v>200</v>
      </c>
      <c r="S808" s="138" t="str">
        <f t="shared" si="40"/>
        <v/>
      </c>
      <c r="T808" s="138">
        <f t="shared" si="41"/>
        <v>-200</v>
      </c>
      <c r="U808" s="138" t="str">
        <f>IF(Table13232[[#This Row],[Date]]&lt;$U$4,"","Live")</f>
        <v>Live</v>
      </c>
      <c r="V808" s="138" t="str">
        <f>TEXT(Table13232[[#This Row],[Date]],"DDD")</f>
        <v>Sat</v>
      </c>
      <c r="W808" s="138" t="str">
        <f>PROPER(TRIM(Table13232[[#This Row],[Horse]]))</f>
        <v>Monte Veebee</v>
      </c>
    </row>
    <row r="809" spans="1:23" s="160" customFormat="1" x14ac:dyDescent="0.25">
      <c r="A809" s="136">
        <v>46060</v>
      </c>
      <c r="B809" s="137">
        <v>0.62847222222222221</v>
      </c>
      <c r="C809" s="137" t="s">
        <v>526</v>
      </c>
      <c r="D809" s="138">
        <v>6</v>
      </c>
      <c r="E809" s="138">
        <v>1</v>
      </c>
      <c r="F809" s="139" t="s">
        <v>312</v>
      </c>
      <c r="G809" s="139" t="s">
        <v>476</v>
      </c>
      <c r="H809" s="140"/>
      <c r="I809" s="140" t="s">
        <v>297</v>
      </c>
      <c r="J809" s="138" t="str">
        <f>VLOOKUP(Table13232[[#This Row],[Track]],$C$836:$E$882,2,FALSE)</f>
        <v>Vic</v>
      </c>
      <c r="K809" s="158">
        <v>100</v>
      </c>
      <c r="L809" s="138" t="str">
        <f>IF(Table13232[[#This Row],[Fin]]&lt;&gt;"1st","",Table13232[[#This Row],[Div]]*Table13232[[#This Row],[Lev Bet]])</f>
        <v/>
      </c>
      <c r="M809" s="138">
        <f>IF(Table13232[[#This Row],[Lev Ret]]="",Table13232[[#This Row],[Lev Bet]]*-1,L809-K809)</f>
        <v>-100</v>
      </c>
      <c r="N809" s="159">
        <v>100</v>
      </c>
      <c r="O809" s="159" t="str">
        <f>IF(Table13232[[#This Row],[Fin]]&lt;&gt;"1st","",Table13232[[#This Row],[Div]]*Table13232[[#This Row],[Nat and Combo Bet]])</f>
        <v/>
      </c>
      <c r="P809" s="159">
        <f>IF(Table13232[[#This Row],[Lev Ret]]="",Table13232[[#This Row],[Nat and Combo Bet]]*-1,O809-N809)</f>
        <v>-100</v>
      </c>
      <c r="Q809" s="138">
        <f t="shared" si="39"/>
        <v>1</v>
      </c>
      <c r="R809" s="138">
        <f>IF(AND(Q808=2,Q809=1),"",IF(Q809=2,(N809+N810)/2,IF(Table13232[[#This Row],[Dual Listing]]=1,Table13232[[#This Row],[Nat and Combo Bet]],11)))</f>
        <v>100</v>
      </c>
      <c r="S809" s="138" t="str">
        <f t="shared" si="40"/>
        <v/>
      </c>
      <c r="T809" s="138">
        <f t="shared" si="41"/>
        <v>-100</v>
      </c>
      <c r="U809" s="138" t="str">
        <f>IF(Table13232[[#This Row],[Date]]&lt;$U$4,"","Live")</f>
        <v>Live</v>
      </c>
      <c r="V809" s="138" t="str">
        <f>TEXT(Table13232[[#This Row],[Date]],"DDD")</f>
        <v>Sat</v>
      </c>
      <c r="W809" s="138" t="str">
        <f>PROPER(TRIM(Table13232[[#This Row],[Horse]]))</f>
        <v>Hedged</v>
      </c>
    </row>
    <row r="810" spans="1:23" s="160" customFormat="1" x14ac:dyDescent="0.25">
      <c r="A810" s="136">
        <v>46060</v>
      </c>
      <c r="B810" s="137">
        <v>0.62847222222222221</v>
      </c>
      <c r="C810" s="137" t="s">
        <v>526</v>
      </c>
      <c r="D810" s="138">
        <v>6</v>
      </c>
      <c r="E810" s="138">
        <v>5</v>
      </c>
      <c r="F810" s="139" t="s">
        <v>607</v>
      </c>
      <c r="G810" s="139" t="s">
        <v>21</v>
      </c>
      <c r="H810" s="140">
        <v>4.8</v>
      </c>
      <c r="I810" s="140" t="s">
        <v>297</v>
      </c>
      <c r="J810" s="138" t="str">
        <f>VLOOKUP(Table13232[[#This Row],[Track]],$C$836:$E$882,2,FALSE)</f>
        <v>Vic</v>
      </c>
      <c r="K810" s="158">
        <v>100</v>
      </c>
      <c r="L810" s="138">
        <f>IF(Table13232[[#This Row],[Fin]]&lt;&gt;"1st","",Table13232[[#This Row],[Div]]*Table13232[[#This Row],[Lev Bet]])</f>
        <v>480</v>
      </c>
      <c r="M810" s="138">
        <f>IF(Table13232[[#This Row],[Lev Ret]]="",Table13232[[#This Row],[Lev Bet]]*-1,L810-K810)</f>
        <v>380</v>
      </c>
      <c r="N810" s="159">
        <v>100</v>
      </c>
      <c r="O810" s="159">
        <f>IF(Table13232[[#This Row],[Fin]]&lt;&gt;"1st","",Table13232[[#This Row],[Div]]*Table13232[[#This Row],[Nat and Combo Bet]])</f>
        <v>480</v>
      </c>
      <c r="P810" s="159">
        <f>IF(Table13232[[#This Row],[Lev Ret]]="",Table13232[[#This Row],[Nat and Combo Bet]]*-1,O810-N810)</f>
        <v>380</v>
      </c>
      <c r="Q810" s="138">
        <f t="shared" si="39"/>
        <v>1</v>
      </c>
      <c r="R810" s="138">
        <f>IF(AND(Q809=2,Q810=1),"",IF(Q810=2,(N810+N811)/2,IF(Table13232[[#This Row],[Dual Listing]]=1,Table13232[[#This Row],[Nat and Combo Bet]],11)))</f>
        <v>100</v>
      </c>
      <c r="S810" s="138">
        <f t="shared" si="40"/>
        <v>480</v>
      </c>
      <c r="T810" s="138">
        <f t="shared" si="41"/>
        <v>380</v>
      </c>
      <c r="U810" s="138" t="str">
        <f>IF(Table13232[[#This Row],[Date]]&lt;$U$4,"","Live")</f>
        <v>Live</v>
      </c>
      <c r="V810" s="138" t="str">
        <f>TEXT(Table13232[[#This Row],[Date]],"DDD")</f>
        <v>Sat</v>
      </c>
      <c r="W810" s="138" t="str">
        <f>PROPER(TRIM(Table13232[[#This Row],[Horse]]))</f>
        <v>Oak Hill</v>
      </c>
    </row>
    <row r="811" spans="1:23" s="160" customFormat="1" x14ac:dyDescent="0.25">
      <c r="A811" s="136">
        <v>46060</v>
      </c>
      <c r="B811" s="137">
        <v>0.64236111111111116</v>
      </c>
      <c r="C811" s="137" t="s">
        <v>13</v>
      </c>
      <c r="D811" s="138">
        <v>6</v>
      </c>
      <c r="E811" s="138">
        <v>6</v>
      </c>
      <c r="F811" s="139" t="s">
        <v>648</v>
      </c>
      <c r="G811" s="139" t="s">
        <v>21</v>
      </c>
      <c r="H811" s="140">
        <v>2.35</v>
      </c>
      <c r="I811" s="140" t="s">
        <v>297</v>
      </c>
      <c r="J811" s="138" t="str">
        <f>VLOOKUP(Table13232[[#This Row],[Track]],$C$836:$E$882,2,FALSE)</f>
        <v>NSW</v>
      </c>
      <c r="K811" s="158">
        <v>100</v>
      </c>
      <c r="L811" s="138">
        <f>IF(Table13232[[#This Row],[Fin]]&lt;&gt;"1st","",Table13232[[#This Row],[Div]]*Table13232[[#This Row],[Lev Bet]])</f>
        <v>235</v>
      </c>
      <c r="M811" s="138">
        <f>IF(Table13232[[#This Row],[Lev Ret]]="",Table13232[[#This Row],[Lev Bet]]*-1,L811-K811)</f>
        <v>135</v>
      </c>
      <c r="N811" s="159">
        <v>150</v>
      </c>
      <c r="O811" s="159">
        <f>IF(Table13232[[#This Row],[Fin]]&lt;&gt;"1st","",Table13232[[#This Row],[Div]]*Table13232[[#This Row],[Nat and Combo Bet]])</f>
        <v>352.5</v>
      </c>
      <c r="P811" s="159">
        <f>IF(Table13232[[#This Row],[Lev Ret]]="",Table13232[[#This Row],[Nat and Combo Bet]]*-1,O811-N811)</f>
        <v>202.5</v>
      </c>
      <c r="Q811" s="138">
        <f t="shared" si="39"/>
        <v>1</v>
      </c>
      <c r="R811" s="138">
        <f>IF(AND(Q810=2,Q811=1),"",IF(Q811=2,(N811+N812)/2,IF(Table13232[[#This Row],[Dual Listing]]=1,Table13232[[#This Row],[Nat and Combo Bet]],11)))</f>
        <v>150</v>
      </c>
      <c r="S811" s="138">
        <f t="shared" si="40"/>
        <v>352.5</v>
      </c>
      <c r="T811" s="138">
        <f t="shared" si="41"/>
        <v>202.5</v>
      </c>
      <c r="U811" s="138" t="str">
        <f>IF(Table13232[[#This Row],[Date]]&lt;$U$4,"","Live")</f>
        <v>Live</v>
      </c>
      <c r="V811" s="138" t="str">
        <f>TEXT(Table13232[[#This Row],[Date]],"DDD")</f>
        <v>Sat</v>
      </c>
      <c r="W811" s="138" t="str">
        <f>PROPER(TRIM(Table13232[[#This Row],[Horse]]))</f>
        <v>Cinsault</v>
      </c>
    </row>
    <row r="812" spans="1:23" s="160" customFormat="1" x14ac:dyDescent="0.25">
      <c r="A812" s="136">
        <v>46060</v>
      </c>
      <c r="B812" s="137">
        <v>0.65277777777777779</v>
      </c>
      <c r="C812" s="137" t="s">
        <v>34</v>
      </c>
      <c r="D812" s="138">
        <v>7</v>
      </c>
      <c r="E812" s="138">
        <v>3</v>
      </c>
      <c r="F812" s="139" t="s">
        <v>641</v>
      </c>
      <c r="G812" s="139" t="s">
        <v>23</v>
      </c>
      <c r="H812" s="140"/>
      <c r="I812" s="47" t="s">
        <v>298</v>
      </c>
      <c r="J812" s="138" t="str">
        <f>VLOOKUP(Table13232[[#This Row],[Track]],$C$836:$E$882,2,FALSE)</f>
        <v>Vic</v>
      </c>
      <c r="K812" s="158">
        <v>100</v>
      </c>
      <c r="L812" s="138" t="str">
        <f>IF(Table13232[[#This Row],[Fin]]&lt;&gt;"1st","",Table13232[[#This Row],[Div]]*Table13232[[#This Row],[Lev Bet]])</f>
        <v/>
      </c>
      <c r="M812" s="138">
        <f>IF(Table13232[[#This Row],[Lev Ret]]="",Table13232[[#This Row],[Lev Bet]]*-1,L812-K812)</f>
        <v>-100</v>
      </c>
      <c r="N812" s="159">
        <v>200</v>
      </c>
      <c r="O812" s="159" t="str">
        <f>IF(Table13232[[#This Row],[Fin]]&lt;&gt;"1st","",Table13232[[#This Row],[Div]]*Table13232[[#This Row],[Nat and Combo Bet]])</f>
        <v/>
      </c>
      <c r="P812" s="159">
        <f>IF(Table13232[[#This Row],[Lev Ret]]="",Table13232[[#This Row],[Nat and Combo Bet]]*-1,O812-N812)</f>
        <v>-200</v>
      </c>
      <c r="Q812" s="138">
        <f t="shared" si="39"/>
        <v>1</v>
      </c>
      <c r="R812" s="138">
        <f>IF(AND(Q811=2,Q812=1),"",IF(Q812=2,(N812+N813)/2,IF(Table13232[[#This Row],[Dual Listing]]=1,Table13232[[#This Row],[Nat and Combo Bet]],11)))</f>
        <v>200</v>
      </c>
      <c r="S812" s="138" t="str">
        <f t="shared" si="40"/>
        <v/>
      </c>
      <c r="T812" s="138">
        <f t="shared" si="41"/>
        <v>-200</v>
      </c>
      <c r="U812" s="138" t="str">
        <f>IF(Table13232[[#This Row],[Date]]&lt;$U$4,"","Live")</f>
        <v>Live</v>
      </c>
      <c r="V812" s="138" t="str">
        <f>TEXT(Table13232[[#This Row],[Date]],"DDD")</f>
        <v>Sat</v>
      </c>
      <c r="W812" s="138" t="str">
        <f>PROPER(TRIM(Table13232[[#This Row],[Horse]]))</f>
        <v>Feroce</v>
      </c>
    </row>
    <row r="813" spans="1:23" s="160" customFormat="1" x14ac:dyDescent="0.25">
      <c r="A813" s="136">
        <v>46060</v>
      </c>
      <c r="B813" s="137">
        <v>0.65277777777777779</v>
      </c>
      <c r="C813" s="137" t="s">
        <v>526</v>
      </c>
      <c r="D813" s="138">
        <v>7</v>
      </c>
      <c r="E813" s="138">
        <v>1</v>
      </c>
      <c r="F813" s="139" t="s">
        <v>393</v>
      </c>
      <c r="G813" s="139" t="s">
        <v>21</v>
      </c>
      <c r="H813" s="140">
        <v>3</v>
      </c>
      <c r="I813" s="140" t="s">
        <v>297</v>
      </c>
      <c r="J813" s="138" t="str">
        <f>VLOOKUP(Table13232[[#This Row],[Track]],$C$836:$E$882,2,FALSE)</f>
        <v>Vic</v>
      </c>
      <c r="K813" s="158">
        <v>100</v>
      </c>
      <c r="L813" s="138">
        <f>IF(Table13232[[#This Row],[Fin]]&lt;&gt;"1st","",Table13232[[#This Row],[Div]]*Table13232[[#This Row],[Lev Bet]])</f>
        <v>300</v>
      </c>
      <c r="M813" s="138">
        <f>IF(Table13232[[#This Row],[Lev Ret]]="",Table13232[[#This Row],[Lev Bet]]*-1,L813-K813)</f>
        <v>200</v>
      </c>
      <c r="N813" s="159">
        <v>100</v>
      </c>
      <c r="O813" s="159">
        <f>IF(Table13232[[#This Row],[Fin]]&lt;&gt;"1st","",Table13232[[#This Row],[Div]]*Table13232[[#This Row],[Nat and Combo Bet]])</f>
        <v>300</v>
      </c>
      <c r="P813" s="159">
        <f>IF(Table13232[[#This Row],[Lev Ret]]="",Table13232[[#This Row],[Nat and Combo Bet]]*-1,O813-N813)</f>
        <v>200</v>
      </c>
      <c r="Q813" s="138">
        <f t="shared" si="39"/>
        <v>1</v>
      </c>
      <c r="R813" s="138">
        <f>IF(AND(Q812=2,Q813=1),"",IF(Q813=2,(N813+N814)/2,IF(Table13232[[#This Row],[Dual Listing]]=1,Table13232[[#This Row],[Nat and Combo Bet]],11)))</f>
        <v>100</v>
      </c>
      <c r="S813" s="138">
        <f t="shared" si="40"/>
        <v>300</v>
      </c>
      <c r="T813" s="138">
        <f t="shared" si="41"/>
        <v>200</v>
      </c>
      <c r="U813" s="138" t="str">
        <f>IF(Table13232[[#This Row],[Date]]&lt;$U$4,"","Live")</f>
        <v>Live</v>
      </c>
      <c r="V813" s="138" t="str">
        <f>TEXT(Table13232[[#This Row],[Date]],"DDD")</f>
        <v>Sat</v>
      </c>
      <c r="W813" s="138" t="str">
        <f>PROPER(TRIM(Table13232[[#This Row],[Horse]]))</f>
        <v>Tom Kitten</v>
      </c>
    </row>
    <row r="814" spans="1:23" s="160" customFormat="1" x14ac:dyDescent="0.25">
      <c r="A814" s="109">
        <v>46060</v>
      </c>
      <c r="B814" s="53">
        <v>0.67708333333333337</v>
      </c>
      <c r="C814" s="110" t="s">
        <v>526</v>
      </c>
      <c r="D814" s="111">
        <v>8</v>
      </c>
      <c r="E814" s="111">
        <v>2</v>
      </c>
      <c r="F814" s="112" t="s">
        <v>642</v>
      </c>
      <c r="G814" s="112" t="s">
        <v>21</v>
      </c>
      <c r="H814" s="113">
        <v>3.8</v>
      </c>
      <c r="I814" s="109" t="s">
        <v>297</v>
      </c>
      <c r="J814" s="138" t="str">
        <f>VLOOKUP(Table13232[[#This Row],[Track]],$C$836:$E$882,2,FALSE)</f>
        <v>Vic</v>
      </c>
      <c r="K814" s="158">
        <v>100</v>
      </c>
      <c r="L814" s="138">
        <f>IF(Table13232[[#This Row],[Fin]]&lt;&gt;"1st","",Table13232[[#This Row],[Div]]*Table13232[[#This Row],[Lev Bet]])</f>
        <v>380</v>
      </c>
      <c r="M814" s="138">
        <f>IF(Table13232[[#This Row],[Lev Ret]]="",Table13232[[#This Row],[Lev Bet]]*-1,L814-K814)</f>
        <v>280</v>
      </c>
      <c r="N814" s="159">
        <v>120</v>
      </c>
      <c r="O814" s="159">
        <f>IF(Table13232[[#This Row],[Fin]]&lt;&gt;"1st","",Table13232[[#This Row],[Div]]*Table13232[[#This Row],[Nat and Combo Bet]])</f>
        <v>456</v>
      </c>
      <c r="P814" s="159">
        <f>IF(Table13232[[#This Row],[Lev Ret]]="",Table13232[[#This Row],[Nat and Combo Bet]]*-1,O814-N814)</f>
        <v>336</v>
      </c>
      <c r="Q814" s="138">
        <f t="shared" si="39"/>
        <v>2</v>
      </c>
      <c r="R814" s="138">
        <f>IF(AND(Q813=2,Q814=1),"",IF(Q814=2,(N814+N815)/2,IF(Table13232[[#This Row],[Dual Listing]]=1,Table13232[[#This Row],[Nat and Combo Bet]],11)))</f>
        <v>110</v>
      </c>
      <c r="S814" s="138">
        <f t="shared" si="40"/>
        <v>418</v>
      </c>
      <c r="T814" s="138">
        <f t="shared" si="41"/>
        <v>308</v>
      </c>
      <c r="U814" s="138" t="str">
        <f>IF(Table13232[[#This Row],[Date]]&lt;$U$4,"","Live")</f>
        <v>Live</v>
      </c>
      <c r="V814" s="138" t="str">
        <f>TEXT(Table13232[[#This Row],[Date]],"DDD")</f>
        <v>Sat</v>
      </c>
      <c r="W814" s="138" t="str">
        <f>PROPER(TRIM(Table13232[[#This Row],[Horse]]))</f>
        <v>Alpha Sofie</v>
      </c>
    </row>
    <row r="815" spans="1:23" s="160" customFormat="1" x14ac:dyDescent="0.25">
      <c r="A815" s="109">
        <v>46060</v>
      </c>
      <c r="B815" s="53">
        <v>0.67708333333333337</v>
      </c>
      <c r="C815" s="110" t="s">
        <v>34</v>
      </c>
      <c r="D815" s="111">
        <v>8</v>
      </c>
      <c r="E815" s="111">
        <v>2</v>
      </c>
      <c r="F815" s="112" t="s">
        <v>642</v>
      </c>
      <c r="G815" s="112" t="s">
        <v>21</v>
      </c>
      <c r="H815" s="113">
        <v>3.8</v>
      </c>
      <c r="I815" s="109" t="s">
        <v>298</v>
      </c>
      <c r="J815" s="138" t="str">
        <f>VLOOKUP(Table13232[[#This Row],[Track]],$C$836:$E$882,2,FALSE)</f>
        <v>Vic</v>
      </c>
      <c r="K815" s="158">
        <v>100</v>
      </c>
      <c r="L815" s="138">
        <f>IF(Table13232[[#This Row],[Fin]]&lt;&gt;"1st","",Table13232[[#This Row],[Div]]*Table13232[[#This Row],[Lev Bet]])</f>
        <v>380</v>
      </c>
      <c r="M815" s="138">
        <f>IF(Table13232[[#This Row],[Lev Ret]]="",Table13232[[#This Row],[Lev Bet]]*-1,L815-K815)</f>
        <v>280</v>
      </c>
      <c r="N815" s="159">
        <v>100</v>
      </c>
      <c r="O815" s="159">
        <f>IF(Table13232[[#This Row],[Fin]]&lt;&gt;"1st","",Table13232[[#This Row],[Div]]*Table13232[[#This Row],[Nat and Combo Bet]])</f>
        <v>380</v>
      </c>
      <c r="P815" s="159">
        <f>IF(Table13232[[#This Row],[Lev Ret]]="",Table13232[[#This Row],[Nat and Combo Bet]]*-1,O815-N815)</f>
        <v>280</v>
      </c>
      <c r="Q815" s="138">
        <f t="shared" si="39"/>
        <v>1</v>
      </c>
      <c r="R815" s="138" t="str">
        <f>IF(AND(Q814=2,Q815=1),"",IF(Q815=2,(N815+N816)/2,IF(Table13232[[#This Row],[Dual Listing]]=1,Table13232[[#This Row],[Nat and Combo Bet]],11)))</f>
        <v/>
      </c>
      <c r="S815" s="138" t="str">
        <f t="shared" si="40"/>
        <v/>
      </c>
      <c r="T815" s="138" t="str">
        <f t="shared" si="41"/>
        <v/>
      </c>
      <c r="U815" s="138" t="str">
        <f>IF(Table13232[[#This Row],[Date]]&lt;$U$4,"","Live")</f>
        <v>Live</v>
      </c>
      <c r="V815" s="138" t="str">
        <f>TEXT(Table13232[[#This Row],[Date]],"DDD")</f>
        <v>Sat</v>
      </c>
      <c r="W815" s="138" t="str">
        <f>PROPER(TRIM(Table13232[[#This Row],[Horse]]))</f>
        <v>Alpha Sofie</v>
      </c>
    </row>
    <row r="816" spans="1:23" s="160" customFormat="1" x14ac:dyDescent="0.25">
      <c r="A816" s="136">
        <v>46060</v>
      </c>
      <c r="B816" s="137">
        <v>0.70486111111111116</v>
      </c>
      <c r="C816" s="137" t="s">
        <v>526</v>
      </c>
      <c r="D816" s="138">
        <v>9</v>
      </c>
      <c r="E816" s="138">
        <v>1</v>
      </c>
      <c r="F816" s="139" t="s">
        <v>649</v>
      </c>
      <c r="G816" s="139" t="s">
        <v>21</v>
      </c>
      <c r="H816" s="140">
        <v>5</v>
      </c>
      <c r="I816" s="140" t="s">
        <v>297</v>
      </c>
      <c r="J816" s="138" t="str">
        <f>VLOOKUP(Table13232[[#This Row],[Track]],$C$836:$E$882,2,FALSE)</f>
        <v>Vic</v>
      </c>
      <c r="K816" s="158">
        <v>100</v>
      </c>
      <c r="L816" s="138">
        <f>IF(Table13232[[#This Row],[Fin]]&lt;&gt;"1st","",Table13232[[#This Row],[Div]]*Table13232[[#This Row],[Lev Bet]])</f>
        <v>500</v>
      </c>
      <c r="M816" s="138">
        <f>IF(Table13232[[#This Row],[Lev Ret]]="",Table13232[[#This Row],[Lev Bet]]*-1,L816-K816)</f>
        <v>400</v>
      </c>
      <c r="N816" s="159">
        <v>150</v>
      </c>
      <c r="O816" s="159">
        <f>IF(Table13232[[#This Row],[Fin]]&lt;&gt;"1st","",Table13232[[#This Row],[Div]]*Table13232[[#This Row],[Nat and Combo Bet]])</f>
        <v>750</v>
      </c>
      <c r="P816" s="159">
        <f>IF(Table13232[[#This Row],[Lev Ret]]="",Table13232[[#This Row],[Nat and Combo Bet]]*-1,O816-N816)</f>
        <v>600</v>
      </c>
      <c r="Q816" s="138">
        <f t="shared" si="39"/>
        <v>1</v>
      </c>
      <c r="R816" s="138">
        <f>IF(AND(Q815=2,Q816=1),"",IF(Q816=2,(N816+N817)/2,IF(Table13232[[#This Row],[Dual Listing]]=1,Table13232[[#This Row],[Nat and Combo Bet]],11)))</f>
        <v>150</v>
      </c>
      <c r="S816" s="138">
        <f t="shared" si="40"/>
        <v>750</v>
      </c>
      <c r="T816" s="138">
        <f t="shared" si="41"/>
        <v>600</v>
      </c>
      <c r="U816" s="138" t="str">
        <f>IF(Table13232[[#This Row],[Date]]&lt;$U$4,"","Live")</f>
        <v>Live</v>
      </c>
      <c r="V816" s="138" t="str">
        <f>TEXT(Table13232[[#This Row],[Date]],"DDD")</f>
        <v>Sat</v>
      </c>
      <c r="W816" s="138" t="str">
        <f>PROPER(TRIM(Table13232[[#This Row],[Horse]]))</f>
        <v>Light Infantry Man</v>
      </c>
    </row>
    <row r="817" spans="1:23" s="160" customFormat="1" x14ac:dyDescent="0.25">
      <c r="A817" s="136">
        <v>46060</v>
      </c>
      <c r="B817" s="137">
        <v>0.70486111111111116</v>
      </c>
      <c r="C817" s="137" t="s">
        <v>34</v>
      </c>
      <c r="D817" s="138">
        <v>9</v>
      </c>
      <c r="E817" s="138">
        <v>12</v>
      </c>
      <c r="F817" s="139" t="s">
        <v>588</v>
      </c>
      <c r="G817" s="139"/>
      <c r="H817" s="140"/>
      <c r="I817" s="47" t="s">
        <v>298</v>
      </c>
      <c r="J817" s="138" t="str">
        <f>VLOOKUP(Table13232[[#This Row],[Track]],$C$836:$E$882,2,FALSE)</f>
        <v>Vic</v>
      </c>
      <c r="K817" s="158">
        <v>100</v>
      </c>
      <c r="L817" s="138" t="str">
        <f>IF(Table13232[[#This Row],[Fin]]&lt;&gt;"1st","",Table13232[[#This Row],[Div]]*Table13232[[#This Row],[Lev Bet]])</f>
        <v/>
      </c>
      <c r="M817" s="138">
        <f>IF(Table13232[[#This Row],[Lev Ret]]="",Table13232[[#This Row],[Lev Bet]]*-1,L817-K817)</f>
        <v>-100</v>
      </c>
      <c r="N817" s="159">
        <v>100</v>
      </c>
      <c r="O817" s="159" t="str">
        <f>IF(Table13232[[#This Row],[Fin]]&lt;&gt;"1st","",Table13232[[#This Row],[Div]]*Table13232[[#This Row],[Nat and Combo Bet]])</f>
        <v/>
      </c>
      <c r="P817" s="159">
        <f>IF(Table13232[[#This Row],[Lev Ret]]="",Table13232[[#This Row],[Nat and Combo Bet]]*-1,O817-N817)</f>
        <v>-100</v>
      </c>
      <c r="Q817" s="138">
        <f t="shared" si="39"/>
        <v>1</v>
      </c>
      <c r="R817" s="138">
        <f>IF(AND(Q816=2,Q817=1),"",IF(Q817=2,(N817+N818)/2,IF(Table13232[[#This Row],[Dual Listing]]=1,Table13232[[#This Row],[Nat and Combo Bet]],11)))</f>
        <v>100</v>
      </c>
      <c r="S817" s="138" t="str">
        <f t="shared" si="40"/>
        <v/>
      </c>
      <c r="T817" s="138">
        <f t="shared" si="41"/>
        <v>-100</v>
      </c>
      <c r="U817" s="138" t="str">
        <f>IF(Table13232[[#This Row],[Date]]&lt;$U$4,"","Live")</f>
        <v>Live</v>
      </c>
      <c r="V817" s="138" t="str">
        <f>TEXT(Table13232[[#This Row],[Date]],"DDD")</f>
        <v>Sat</v>
      </c>
      <c r="W817" s="138" t="str">
        <f>PROPER(TRIM(Table13232[[#This Row],[Horse]]))</f>
        <v>Welcometotheshow</v>
      </c>
    </row>
    <row r="818" spans="1:23" s="160" customFormat="1" x14ac:dyDescent="0.25">
      <c r="A818" s="109">
        <v>46060</v>
      </c>
      <c r="B818" s="53">
        <v>0.71875</v>
      </c>
      <c r="C818" s="110" t="s">
        <v>13</v>
      </c>
      <c r="D818" s="111">
        <v>9</v>
      </c>
      <c r="E818" s="111">
        <v>16</v>
      </c>
      <c r="F818" s="112" t="s">
        <v>643</v>
      </c>
      <c r="G818" s="112" t="s">
        <v>21</v>
      </c>
      <c r="H818" s="113">
        <v>5.5</v>
      </c>
      <c r="I818" s="109" t="s">
        <v>297</v>
      </c>
      <c r="J818" s="138" t="str">
        <f>VLOOKUP(Table13232[[#This Row],[Track]],$C$836:$E$882,2,FALSE)</f>
        <v>NSW</v>
      </c>
      <c r="K818" s="158">
        <v>100</v>
      </c>
      <c r="L818" s="138">
        <f>IF(Table13232[[#This Row],[Fin]]&lt;&gt;"1st","",Table13232[[#This Row],[Div]]*Table13232[[#This Row],[Lev Bet]])</f>
        <v>550</v>
      </c>
      <c r="M818" s="138">
        <f>IF(Table13232[[#This Row],[Lev Ret]]="",Table13232[[#This Row],[Lev Bet]]*-1,L818-K818)</f>
        <v>450</v>
      </c>
      <c r="N818" s="159">
        <v>100</v>
      </c>
      <c r="O818" s="159">
        <f>IF(Table13232[[#This Row],[Fin]]&lt;&gt;"1st","",Table13232[[#This Row],[Div]]*Table13232[[#This Row],[Nat and Combo Bet]])</f>
        <v>550</v>
      </c>
      <c r="P818" s="159">
        <f>IF(Table13232[[#This Row],[Lev Ret]]="",Table13232[[#This Row],[Nat and Combo Bet]]*-1,O818-N818)</f>
        <v>450</v>
      </c>
      <c r="Q818" s="138">
        <f t="shared" si="39"/>
        <v>2</v>
      </c>
      <c r="R818" s="138">
        <f>IF(AND(Q817=2,Q818=1),"",IF(Q818=2,(N818+N819)/2,IF(Table13232[[#This Row],[Dual Listing]]=1,Table13232[[#This Row],[Nat and Combo Bet]],11)))</f>
        <v>125</v>
      </c>
      <c r="S818" s="138">
        <f t="shared" si="40"/>
        <v>687.5</v>
      </c>
      <c r="T818" s="138">
        <f t="shared" si="41"/>
        <v>562.5</v>
      </c>
      <c r="U818" s="138" t="str">
        <f>IF(Table13232[[#This Row],[Date]]&lt;$U$4,"","Live")</f>
        <v>Live</v>
      </c>
      <c r="V818" s="138" t="str">
        <f>TEXT(Table13232[[#This Row],[Date]],"DDD")</f>
        <v>Sat</v>
      </c>
      <c r="W818" s="138" t="str">
        <f>PROPER(TRIM(Table13232[[#This Row],[Horse]]))</f>
        <v>Sun God</v>
      </c>
    </row>
    <row r="819" spans="1:23" s="160" customFormat="1" x14ac:dyDescent="0.25">
      <c r="A819" s="109">
        <v>46060</v>
      </c>
      <c r="B819" s="53">
        <v>0.71875</v>
      </c>
      <c r="C819" s="110" t="s">
        <v>13</v>
      </c>
      <c r="D819" s="111">
        <v>9</v>
      </c>
      <c r="E819" s="111">
        <v>16</v>
      </c>
      <c r="F819" s="112" t="s">
        <v>643</v>
      </c>
      <c r="G819" s="112" t="s">
        <v>21</v>
      </c>
      <c r="H819" s="113">
        <v>5.5</v>
      </c>
      <c r="I819" s="109" t="s">
        <v>298</v>
      </c>
      <c r="J819" s="138" t="str">
        <f>VLOOKUP(Table13232[[#This Row],[Track]],$C$836:$E$882,2,FALSE)</f>
        <v>NSW</v>
      </c>
      <c r="K819" s="158">
        <v>100</v>
      </c>
      <c r="L819" s="138">
        <f>IF(Table13232[[#This Row],[Fin]]&lt;&gt;"1st","",Table13232[[#This Row],[Div]]*Table13232[[#This Row],[Lev Bet]])</f>
        <v>550</v>
      </c>
      <c r="M819" s="138">
        <f>IF(Table13232[[#This Row],[Lev Ret]]="",Table13232[[#This Row],[Lev Bet]]*-1,L819-K819)</f>
        <v>450</v>
      </c>
      <c r="N819" s="159">
        <v>150</v>
      </c>
      <c r="O819" s="159">
        <f>IF(Table13232[[#This Row],[Fin]]&lt;&gt;"1st","",Table13232[[#This Row],[Div]]*Table13232[[#This Row],[Nat and Combo Bet]])</f>
        <v>825</v>
      </c>
      <c r="P819" s="159">
        <f>IF(Table13232[[#This Row],[Lev Ret]]="",Table13232[[#This Row],[Nat and Combo Bet]]*-1,O819-N819)</f>
        <v>675</v>
      </c>
      <c r="Q819" s="138">
        <f t="shared" si="39"/>
        <v>1</v>
      </c>
      <c r="R819" s="138" t="str">
        <f>IF(AND(Q818=2,Q819=1),"",IF(Q819=2,(N819+N820)/2,IF(Table13232[[#This Row],[Dual Listing]]=1,Table13232[[#This Row],[Nat and Combo Bet]],11)))</f>
        <v/>
      </c>
      <c r="S819" s="138" t="str">
        <f t="shared" si="40"/>
        <v/>
      </c>
      <c r="T819" s="138" t="str">
        <f t="shared" si="41"/>
        <v/>
      </c>
      <c r="U819" s="138" t="str">
        <f>IF(Table13232[[#This Row],[Date]]&lt;$U$4,"","Live")</f>
        <v>Live</v>
      </c>
      <c r="V819" s="138" t="str">
        <f>TEXT(Table13232[[#This Row],[Date]],"DDD")</f>
        <v>Sat</v>
      </c>
      <c r="W819" s="138" t="str">
        <f>PROPER(TRIM(Table13232[[#This Row],[Horse]]))</f>
        <v>Sun God</v>
      </c>
    </row>
    <row r="820" spans="1:23" s="160" customFormat="1" x14ac:dyDescent="0.25">
      <c r="A820" s="109">
        <v>46060</v>
      </c>
      <c r="B820" s="53">
        <v>0.73263888888888884</v>
      </c>
      <c r="C820" s="110" t="s">
        <v>526</v>
      </c>
      <c r="D820" s="111">
        <v>10</v>
      </c>
      <c r="E820" s="111">
        <v>8</v>
      </c>
      <c r="F820" s="112" t="s">
        <v>174</v>
      </c>
      <c r="G820" s="112" t="s">
        <v>23</v>
      </c>
      <c r="H820" s="113"/>
      <c r="I820" s="109" t="s">
        <v>297</v>
      </c>
      <c r="J820" s="138" t="str">
        <f>VLOOKUP(Table13232[[#This Row],[Track]],$C$836:$E$882,2,FALSE)</f>
        <v>Vic</v>
      </c>
      <c r="K820" s="158">
        <v>100</v>
      </c>
      <c r="L820" s="138" t="str">
        <f>IF(Table13232[[#This Row],[Fin]]&lt;&gt;"1st","",Table13232[[#This Row],[Div]]*Table13232[[#This Row],[Lev Bet]])</f>
        <v/>
      </c>
      <c r="M820" s="138">
        <f>IF(Table13232[[#This Row],[Lev Ret]]="",Table13232[[#This Row],[Lev Bet]]*-1,L820-K820)</f>
        <v>-100</v>
      </c>
      <c r="N820" s="159">
        <v>100</v>
      </c>
      <c r="O820" s="159" t="str">
        <f>IF(Table13232[[#This Row],[Fin]]&lt;&gt;"1st","",Table13232[[#This Row],[Div]]*Table13232[[#This Row],[Nat and Combo Bet]])</f>
        <v/>
      </c>
      <c r="P820" s="159">
        <f>IF(Table13232[[#This Row],[Lev Ret]]="",Table13232[[#This Row],[Nat and Combo Bet]]*-1,O820-N820)</f>
        <v>-100</v>
      </c>
      <c r="Q820" s="138">
        <f t="shared" si="39"/>
        <v>2</v>
      </c>
      <c r="R820" s="138">
        <f>IF(AND(Q819=2,Q820=1),"",IF(Q820=2,(N820+N821)/2,IF(Table13232[[#This Row],[Dual Listing]]=1,Table13232[[#This Row],[Nat and Combo Bet]],11)))</f>
        <v>150</v>
      </c>
      <c r="S820" s="138" t="str">
        <f t="shared" si="40"/>
        <v/>
      </c>
      <c r="T820" s="138">
        <f t="shared" si="41"/>
        <v>-150</v>
      </c>
      <c r="U820" s="138" t="str">
        <f>IF(Table13232[[#This Row],[Date]]&lt;$U$4,"","Live")</f>
        <v>Live</v>
      </c>
      <c r="V820" s="138" t="str">
        <f>TEXT(Table13232[[#This Row],[Date]],"DDD")</f>
        <v>Sat</v>
      </c>
      <c r="W820" s="138" t="str">
        <f>PROPER(TRIM(Table13232[[#This Row],[Horse]]))</f>
        <v>Ahha Ahha</v>
      </c>
    </row>
    <row r="821" spans="1:23" s="160" customFormat="1" x14ac:dyDescent="0.25">
      <c r="A821" s="109">
        <v>46060</v>
      </c>
      <c r="B821" s="53">
        <v>0.73263888888888884</v>
      </c>
      <c r="C821" s="110" t="s">
        <v>34</v>
      </c>
      <c r="D821" s="111">
        <v>10</v>
      </c>
      <c r="E821" s="111">
        <v>8</v>
      </c>
      <c r="F821" s="112" t="s">
        <v>174</v>
      </c>
      <c r="G821" s="112" t="s">
        <v>23</v>
      </c>
      <c r="H821" s="113"/>
      <c r="I821" s="109" t="s">
        <v>298</v>
      </c>
      <c r="J821" s="138" t="str">
        <f>VLOOKUP(Table13232[[#This Row],[Track]],$C$836:$E$882,2,FALSE)</f>
        <v>Vic</v>
      </c>
      <c r="K821" s="158">
        <v>100</v>
      </c>
      <c r="L821" s="138" t="str">
        <f>IF(Table13232[[#This Row],[Fin]]&lt;&gt;"1st","",Table13232[[#This Row],[Div]]*Table13232[[#This Row],[Lev Bet]])</f>
        <v/>
      </c>
      <c r="M821" s="138">
        <f>IF(Table13232[[#This Row],[Lev Ret]]="",Table13232[[#This Row],[Lev Bet]]*-1,L821-K821)</f>
        <v>-100</v>
      </c>
      <c r="N821" s="159">
        <v>200</v>
      </c>
      <c r="O821" s="159" t="str">
        <f>IF(Table13232[[#This Row],[Fin]]&lt;&gt;"1st","",Table13232[[#This Row],[Div]]*Table13232[[#This Row],[Nat and Combo Bet]])</f>
        <v/>
      </c>
      <c r="P821" s="159">
        <f>IF(Table13232[[#This Row],[Lev Ret]]="",Table13232[[#This Row],[Nat and Combo Bet]]*-1,O821-N821)</f>
        <v>-200</v>
      </c>
      <c r="Q821" s="138">
        <f t="shared" si="39"/>
        <v>1</v>
      </c>
      <c r="R821" s="138" t="str">
        <f>IF(AND(Q820=2,Q821=1),"",IF(Q821=2,(N821+N822)/2,IF(Table13232[[#This Row],[Dual Listing]]=1,Table13232[[#This Row],[Nat and Combo Bet]],11)))</f>
        <v/>
      </c>
      <c r="S821" s="138" t="str">
        <f t="shared" si="40"/>
        <v/>
      </c>
      <c r="T821" s="138" t="str">
        <f t="shared" si="41"/>
        <v/>
      </c>
      <c r="U821" s="138" t="str">
        <f>IF(Table13232[[#This Row],[Date]]&lt;$U$4,"","Live")</f>
        <v>Live</v>
      </c>
      <c r="V821" s="138" t="str">
        <f>TEXT(Table13232[[#This Row],[Date]],"DDD")</f>
        <v>Sat</v>
      </c>
      <c r="W821" s="138" t="str">
        <f>PROPER(TRIM(Table13232[[#This Row],[Horse]]))</f>
        <v>Ahha Ahha</v>
      </c>
    </row>
    <row r="822" spans="1:23" s="160" customFormat="1" x14ac:dyDescent="0.25">
      <c r="A822" s="136">
        <v>46060</v>
      </c>
      <c r="B822" s="137">
        <v>0.74652777777777779</v>
      </c>
      <c r="C822" s="137" t="s">
        <v>13</v>
      </c>
      <c r="D822" s="138">
        <v>10</v>
      </c>
      <c r="E822" s="138">
        <v>10</v>
      </c>
      <c r="F822" s="139" t="s">
        <v>650</v>
      </c>
      <c r="G822" s="139" t="s">
        <v>22</v>
      </c>
      <c r="H822" s="140"/>
      <c r="I822" s="140" t="s">
        <v>297</v>
      </c>
      <c r="J822" s="138" t="str">
        <f>VLOOKUP(Table13232[[#This Row],[Track]],$C$836:$E$882,2,FALSE)</f>
        <v>NSW</v>
      </c>
      <c r="K822" s="158">
        <v>100</v>
      </c>
      <c r="L822" s="138" t="str">
        <f>IF(Table13232[[#This Row],[Fin]]&lt;&gt;"1st","",Table13232[[#This Row],[Div]]*Table13232[[#This Row],[Lev Bet]])</f>
        <v/>
      </c>
      <c r="M822" s="138">
        <f>IF(Table13232[[#This Row],[Lev Ret]]="",Table13232[[#This Row],[Lev Bet]]*-1,L822-K822)</f>
        <v>-100</v>
      </c>
      <c r="N822" s="159">
        <v>100</v>
      </c>
      <c r="O822" s="159" t="str">
        <f>IF(Table13232[[#This Row],[Fin]]&lt;&gt;"1st","",Table13232[[#This Row],[Div]]*Table13232[[#This Row],[Nat and Combo Bet]])</f>
        <v/>
      </c>
      <c r="P822" s="159">
        <f>IF(Table13232[[#This Row],[Lev Ret]]="",Table13232[[#This Row],[Nat and Combo Bet]]*-1,O822-N822)</f>
        <v>-100</v>
      </c>
      <c r="Q822" s="138">
        <f t="shared" si="39"/>
        <v>1</v>
      </c>
      <c r="R822" s="138">
        <f>IF(AND(Q821=2,Q822=1),"",IF(Q822=2,(N822+N823)/2,IF(Table13232[[#This Row],[Dual Listing]]=1,Table13232[[#This Row],[Nat and Combo Bet]],11)))</f>
        <v>100</v>
      </c>
      <c r="S822" s="138" t="str">
        <f t="shared" si="40"/>
        <v/>
      </c>
      <c r="T822" s="138">
        <f t="shared" si="41"/>
        <v>-100</v>
      </c>
      <c r="U822" s="138" t="str">
        <f>IF(Table13232[[#This Row],[Date]]&lt;$U$4,"","Live")</f>
        <v>Live</v>
      </c>
      <c r="V822" s="138" t="str">
        <f>TEXT(Table13232[[#This Row],[Date]],"DDD")</f>
        <v>Sat</v>
      </c>
      <c r="W822" s="138" t="str">
        <f>PROPER(TRIM(Table13232[[#This Row],[Horse]]))</f>
        <v>Lulumon</v>
      </c>
    </row>
    <row r="823" spans="1:23" s="160" customFormat="1" x14ac:dyDescent="0.25">
      <c r="A823" s="136">
        <v>46060</v>
      </c>
      <c r="B823" s="137">
        <v>0.75694444444444442</v>
      </c>
      <c r="C823" s="137" t="s">
        <v>9</v>
      </c>
      <c r="D823" s="138">
        <v>9</v>
      </c>
      <c r="E823" s="138">
        <v>3</v>
      </c>
      <c r="F823" s="139" t="s">
        <v>644</v>
      </c>
      <c r="G823" s="139" t="s">
        <v>22</v>
      </c>
      <c r="H823" s="140"/>
      <c r="I823" s="47" t="s">
        <v>298</v>
      </c>
      <c r="J823" s="138" t="str">
        <f>VLOOKUP(Table13232[[#This Row],[Track]],$C$836:$E$882,2,FALSE)</f>
        <v>Qld</v>
      </c>
      <c r="K823" s="158">
        <v>100</v>
      </c>
      <c r="L823" s="138" t="str">
        <f>IF(Table13232[[#This Row],[Fin]]&lt;&gt;"1st","",Table13232[[#This Row],[Div]]*Table13232[[#This Row],[Lev Bet]])</f>
        <v/>
      </c>
      <c r="M823" s="138">
        <f>IF(Table13232[[#This Row],[Lev Ret]]="",Table13232[[#This Row],[Lev Bet]]*-1,L823-K823)</f>
        <v>-100</v>
      </c>
      <c r="N823" s="159">
        <v>100</v>
      </c>
      <c r="O823" s="159" t="str">
        <f>IF(Table13232[[#This Row],[Fin]]&lt;&gt;"1st","",Table13232[[#This Row],[Div]]*Table13232[[#This Row],[Nat and Combo Bet]])</f>
        <v/>
      </c>
      <c r="P823" s="159">
        <f>IF(Table13232[[#This Row],[Lev Ret]]="",Table13232[[#This Row],[Nat and Combo Bet]]*-1,O823-N823)</f>
        <v>-100</v>
      </c>
      <c r="Q823" s="138">
        <f t="shared" si="39"/>
        <v>1</v>
      </c>
      <c r="R823" s="138">
        <f>IF(AND(Q822=2,Q823=1),"",IF(Q823=2,(N823+N824)/2,IF(Table13232[[#This Row],[Dual Listing]]=1,Table13232[[#This Row],[Nat and Combo Bet]],11)))</f>
        <v>100</v>
      </c>
      <c r="S823" s="138" t="str">
        <f t="shared" si="40"/>
        <v/>
      </c>
      <c r="T823" s="138">
        <f t="shared" si="41"/>
        <v>-100</v>
      </c>
      <c r="U823" s="138" t="str">
        <f>IF(Table13232[[#This Row],[Date]]&lt;$U$4,"","Live")</f>
        <v>Live</v>
      </c>
      <c r="V823" s="138" t="str">
        <f>TEXT(Table13232[[#This Row],[Date]],"DDD")</f>
        <v>Sat</v>
      </c>
      <c r="W823" s="138" t="str">
        <f>PROPER(TRIM(Table13232[[#This Row],[Horse]]))</f>
        <v>Hell</v>
      </c>
    </row>
    <row r="824" spans="1:23" x14ac:dyDescent="0.25">
      <c r="A824" s="5"/>
    </row>
    <row r="825" spans="1:23" ht="18.75" x14ac:dyDescent="0.25">
      <c r="K825" s="12">
        <f t="shared" ref="K825:P825" si="42">SUBTOTAL(9,K7:K824)</f>
        <v>81700</v>
      </c>
      <c r="L825" s="12">
        <f t="shared" si="42"/>
        <v>101250</v>
      </c>
      <c r="M825" s="12">
        <f t="shared" si="42"/>
        <v>19550</v>
      </c>
      <c r="N825" s="13">
        <f t="shared" si="42"/>
        <v>103160</v>
      </c>
      <c r="O825" s="13">
        <f t="shared" si="42"/>
        <v>129451.5</v>
      </c>
      <c r="P825" s="15">
        <f t="shared" si="42"/>
        <v>26291.5</v>
      </c>
      <c r="Q825" s="15"/>
      <c r="R825" s="57">
        <f>SUBTOTAL(9,R7:R824)</f>
        <v>92000</v>
      </c>
      <c r="S825" s="57">
        <f>SUBTOTAL(9,S7:S824)</f>
        <v>116033.75</v>
      </c>
      <c r="T825" s="57">
        <f>SUBTOTAL(9,T7:T824)</f>
        <v>24033.75</v>
      </c>
    </row>
    <row r="826" spans="1:23" ht="18.75" x14ac:dyDescent="0.3">
      <c r="A826" s="7"/>
      <c r="K826" s="19">
        <f>SUBTOTAL(2,K7:K824)</f>
        <v>817</v>
      </c>
      <c r="L826" s="19">
        <f>SUBTOTAL(2,L7:L824)</f>
        <v>267</v>
      </c>
      <c r="M826" s="20">
        <f>M825/K825</f>
        <v>0.23929008567931456</v>
      </c>
      <c r="N826" s="17">
        <f>SUBTOTAL(2,N7:N824)</f>
        <v>817</v>
      </c>
      <c r="O826" s="17">
        <f>SUBTOTAL(2,O7:O824)</f>
        <v>267</v>
      </c>
      <c r="P826" s="20">
        <f>P825/N825</f>
        <v>0.25486138037999223</v>
      </c>
      <c r="Q826" s="34"/>
      <c r="R826" s="34"/>
      <c r="S826" s="34"/>
      <c r="T826" s="20">
        <f>T825/R825</f>
        <v>0.26123641304347828</v>
      </c>
      <c r="V826" s="34"/>
      <c r="W826" s="34"/>
    </row>
    <row r="827" spans="1:23" ht="18.75" x14ac:dyDescent="0.3">
      <c r="A827" s="7"/>
      <c r="K827" s="7"/>
      <c r="L827" s="8">
        <f>L826/K826</f>
        <v>0.32680538555691552</v>
      </c>
      <c r="M827" s="7"/>
      <c r="N827" s="115" t="s">
        <v>126</v>
      </c>
      <c r="O827" s="116">
        <f>O826/N826</f>
        <v>0.32680538555691552</v>
      </c>
      <c r="P827" s="7"/>
      <c r="Q827" s="34"/>
      <c r="R827" s="34"/>
      <c r="S827" s="34"/>
      <c r="T827" s="34"/>
    </row>
    <row r="828" spans="1:23" ht="18.75" x14ac:dyDescent="0.25">
      <c r="G828" s="10" t="s">
        <v>27</v>
      </c>
      <c r="K828" s="7"/>
      <c r="L828" s="26">
        <f>SUBTOTAL(1,L7:L824)/100</f>
        <v>3.792134831460674</v>
      </c>
      <c r="M828" s="7"/>
      <c r="N828" s="115" t="s">
        <v>37</v>
      </c>
      <c r="O828" s="117">
        <f>L828</f>
        <v>3.792134831460674</v>
      </c>
      <c r="P828" s="14"/>
      <c r="Q828" s="34"/>
      <c r="R828" s="34"/>
      <c r="S828" s="34"/>
      <c r="T828" s="34"/>
      <c r="U828" s="34"/>
    </row>
    <row r="829" spans="1:23" ht="18.75" x14ac:dyDescent="0.3">
      <c r="G829" s="18">
        <f>SUBTOTAL(3,G7:G824)</f>
        <v>495</v>
      </c>
      <c r="L829" s="21" t="s">
        <v>31</v>
      </c>
      <c r="M829" s="11">
        <f>(M825/A837)</f>
        <v>342.98245614035091</v>
      </c>
      <c r="O829" s="21" t="s">
        <v>31</v>
      </c>
      <c r="P829" s="11">
        <f>(P825/A837)</f>
        <v>461.25438596491227</v>
      </c>
      <c r="Q829" s="34"/>
      <c r="R829" s="34"/>
      <c r="S829" s="34"/>
      <c r="T829" s="34"/>
      <c r="U829" s="34"/>
    </row>
    <row r="830" spans="1:23" ht="18.75" x14ac:dyDescent="0.25">
      <c r="G830" s="35">
        <f>G829/K826</f>
        <v>0.60587515299877603</v>
      </c>
      <c r="Q830" s="34"/>
      <c r="R830" s="34"/>
      <c r="S830" s="34"/>
      <c r="T830" s="34"/>
      <c r="U830" s="34"/>
    </row>
    <row r="831" spans="1:23" ht="18.75" x14ac:dyDescent="0.25">
      <c r="Q831" s="34"/>
      <c r="R831" s="34"/>
      <c r="S831" s="34"/>
      <c r="T831" s="34"/>
      <c r="U831" s="34"/>
    </row>
    <row r="832" spans="1:23" ht="18.75" x14ac:dyDescent="0.25">
      <c r="A832" s="3" t="s">
        <v>30</v>
      </c>
      <c r="N832" s="3"/>
      <c r="O832" s="3"/>
      <c r="P832" s="3"/>
      <c r="Q832" s="34"/>
      <c r="R832" s="34"/>
      <c r="S832" s="34"/>
      <c r="T832" s="34"/>
      <c r="U832" s="34"/>
    </row>
    <row r="835" spans="1:5" x14ac:dyDescent="0.25">
      <c r="A835" s="9">
        <f>SUBTOTAL(5,A6:A824)</f>
        <v>45661</v>
      </c>
      <c r="C835" s="27" t="s">
        <v>289</v>
      </c>
      <c r="D835"/>
      <c r="E835" s="28"/>
    </row>
    <row r="836" spans="1:5" x14ac:dyDescent="0.25">
      <c r="A836" s="9">
        <f>SUBTOTAL(4,A6:A824)</f>
        <v>46060</v>
      </c>
      <c r="C836" s="29" t="s">
        <v>2</v>
      </c>
      <c r="D836" s="29" t="s">
        <v>32</v>
      </c>
      <c r="E836" s="30" t="s">
        <v>277</v>
      </c>
    </row>
    <row r="837" spans="1:5" ht="15.75" x14ac:dyDescent="0.25">
      <c r="A837" s="16">
        <f>(A836-A835)/7</f>
        <v>57</v>
      </c>
      <c r="C837" s="31" t="s">
        <v>526</v>
      </c>
      <c r="D837" s="31" t="s">
        <v>278</v>
      </c>
      <c r="E837" s="32" t="s">
        <v>279</v>
      </c>
    </row>
    <row r="838" spans="1:5" x14ac:dyDescent="0.25">
      <c r="C838" s="31" t="s">
        <v>34</v>
      </c>
      <c r="D838" s="31" t="s">
        <v>278</v>
      </c>
      <c r="E838" s="32" t="s">
        <v>279</v>
      </c>
    </row>
    <row r="839" spans="1:5" x14ac:dyDescent="0.25">
      <c r="C839" s="31" t="s">
        <v>553</v>
      </c>
      <c r="D839" s="31" t="s">
        <v>278</v>
      </c>
      <c r="E839" s="32" t="s">
        <v>279</v>
      </c>
    </row>
    <row r="840" spans="1:5" x14ac:dyDescent="0.25">
      <c r="C840" s="31" t="s">
        <v>554</v>
      </c>
      <c r="D840" s="31" t="s">
        <v>278</v>
      </c>
      <c r="E840" s="32" t="s">
        <v>279</v>
      </c>
    </row>
    <row r="841" spans="1:5" x14ac:dyDescent="0.25">
      <c r="C841" s="31" t="s">
        <v>508</v>
      </c>
      <c r="D841" s="31" t="s">
        <v>278</v>
      </c>
      <c r="E841" s="32" t="s">
        <v>279</v>
      </c>
    </row>
    <row r="842" spans="1:5" x14ac:dyDescent="0.25">
      <c r="C842" s="31" t="s">
        <v>9</v>
      </c>
      <c r="D842" s="31" t="s">
        <v>280</v>
      </c>
      <c r="E842" s="32" t="s">
        <v>279</v>
      </c>
    </row>
    <row r="843" spans="1:5" x14ac:dyDescent="0.25">
      <c r="C843" s="31" t="s">
        <v>12</v>
      </c>
      <c r="D843" s="31" t="s">
        <v>280</v>
      </c>
      <c r="E843" s="32" t="s">
        <v>279</v>
      </c>
    </row>
    <row r="844" spans="1:5" x14ac:dyDescent="0.25">
      <c r="C844" s="31" t="s">
        <v>10</v>
      </c>
      <c r="D844" s="31" t="s">
        <v>278</v>
      </c>
      <c r="E844" s="32" t="s">
        <v>279</v>
      </c>
    </row>
    <row r="845" spans="1:5" x14ac:dyDescent="0.25">
      <c r="C845" s="31" t="s">
        <v>591</v>
      </c>
      <c r="D845" s="31" t="s">
        <v>278</v>
      </c>
      <c r="E845" s="32" t="s">
        <v>279</v>
      </c>
    </row>
    <row r="846" spans="1:5" x14ac:dyDescent="0.25">
      <c r="C846" s="31" t="s">
        <v>76</v>
      </c>
      <c r="D846" s="31" t="s">
        <v>278</v>
      </c>
      <c r="E846" s="32" t="s">
        <v>279</v>
      </c>
    </row>
    <row r="847" spans="1:5" x14ac:dyDescent="0.25">
      <c r="C847" s="31" t="s">
        <v>10</v>
      </c>
      <c r="D847" s="31" t="s">
        <v>278</v>
      </c>
      <c r="E847" s="32" t="s">
        <v>279</v>
      </c>
    </row>
    <row r="848" spans="1:5" x14ac:dyDescent="0.25">
      <c r="C848" s="31" t="s">
        <v>497</v>
      </c>
      <c r="D848" s="31" t="s">
        <v>280</v>
      </c>
      <c r="E848" s="32" t="s">
        <v>277</v>
      </c>
    </row>
    <row r="849" spans="3:5" x14ac:dyDescent="0.25">
      <c r="C849" s="31" t="s">
        <v>54</v>
      </c>
      <c r="D849" s="31" t="s">
        <v>278</v>
      </c>
      <c r="E849" s="32" t="s">
        <v>277</v>
      </c>
    </row>
    <row r="850" spans="3:5" x14ac:dyDescent="0.25">
      <c r="C850" s="31" t="s">
        <v>281</v>
      </c>
      <c r="D850" s="31" t="s">
        <v>278</v>
      </c>
      <c r="E850" s="32" t="s">
        <v>277</v>
      </c>
    </row>
    <row r="851" spans="3:5" x14ac:dyDescent="0.25">
      <c r="C851" s="31" t="s">
        <v>44</v>
      </c>
      <c r="D851" s="31" t="s">
        <v>278</v>
      </c>
      <c r="E851" s="32" t="s">
        <v>277</v>
      </c>
    </row>
    <row r="852" spans="3:5" x14ac:dyDescent="0.25">
      <c r="C852" s="31" t="s">
        <v>44</v>
      </c>
      <c r="D852" s="31" t="s">
        <v>278</v>
      </c>
      <c r="E852" s="32" t="s">
        <v>277</v>
      </c>
    </row>
    <row r="853" spans="3:5" x14ac:dyDescent="0.25">
      <c r="C853" s="31" t="s">
        <v>17</v>
      </c>
      <c r="D853" s="31" t="s">
        <v>33</v>
      </c>
      <c r="E853" s="32" t="s">
        <v>279</v>
      </c>
    </row>
    <row r="854" spans="3:5" x14ac:dyDescent="0.25">
      <c r="C854" s="31" t="s">
        <v>53</v>
      </c>
      <c r="D854" s="31" t="s">
        <v>278</v>
      </c>
      <c r="E854" s="32" t="s">
        <v>277</v>
      </c>
    </row>
    <row r="855" spans="3:5" x14ac:dyDescent="0.25">
      <c r="C855" s="31" t="s">
        <v>282</v>
      </c>
      <c r="D855" s="31" t="s">
        <v>278</v>
      </c>
      <c r="E855" s="32" t="s">
        <v>277</v>
      </c>
    </row>
    <row r="856" spans="3:5" x14ac:dyDescent="0.25">
      <c r="C856" s="31" t="s">
        <v>84</v>
      </c>
      <c r="D856" s="31" t="s">
        <v>278</v>
      </c>
      <c r="E856" s="32" t="s">
        <v>277</v>
      </c>
    </row>
    <row r="857" spans="3:5" x14ac:dyDescent="0.25">
      <c r="C857" s="31" t="s">
        <v>28</v>
      </c>
      <c r="D857" s="31" t="s">
        <v>33</v>
      </c>
      <c r="E857" s="32" t="s">
        <v>277</v>
      </c>
    </row>
    <row r="858" spans="3:5" x14ac:dyDescent="0.25">
      <c r="C858" s="31" t="s">
        <v>45</v>
      </c>
      <c r="D858" s="31" t="s">
        <v>33</v>
      </c>
      <c r="E858" s="32" t="s">
        <v>277</v>
      </c>
    </row>
    <row r="859" spans="3:5" x14ac:dyDescent="0.25">
      <c r="C859" s="31" t="s">
        <v>283</v>
      </c>
      <c r="D859" s="31" t="s">
        <v>33</v>
      </c>
      <c r="E859" s="32" t="s">
        <v>277</v>
      </c>
    </row>
    <row r="860" spans="3:5" x14ac:dyDescent="0.25">
      <c r="C860" s="31" t="s">
        <v>283</v>
      </c>
      <c r="D860" s="31" t="s">
        <v>33</v>
      </c>
      <c r="E860" s="32" t="s">
        <v>277</v>
      </c>
    </row>
    <row r="861" spans="3:5" x14ac:dyDescent="0.25">
      <c r="C861" s="31" t="s">
        <v>135</v>
      </c>
      <c r="D861" s="31" t="s">
        <v>33</v>
      </c>
      <c r="E861" s="32" t="s">
        <v>279</v>
      </c>
    </row>
    <row r="862" spans="3:5" x14ac:dyDescent="0.25">
      <c r="C862" s="31" t="s">
        <v>24</v>
      </c>
      <c r="D862" s="31" t="s">
        <v>278</v>
      </c>
      <c r="E862" s="32" t="s">
        <v>277</v>
      </c>
    </row>
    <row r="863" spans="3:5" x14ac:dyDescent="0.25">
      <c r="C863" s="31" t="s">
        <v>284</v>
      </c>
      <c r="D863" s="31" t="s">
        <v>285</v>
      </c>
      <c r="E863" s="32" t="s">
        <v>279</v>
      </c>
    </row>
    <row r="864" spans="3:5" x14ac:dyDescent="0.25">
      <c r="C864" s="31" t="s">
        <v>286</v>
      </c>
      <c r="D864" s="31" t="s">
        <v>285</v>
      </c>
      <c r="E864" s="32" t="s">
        <v>279</v>
      </c>
    </row>
    <row r="865" spans="3:5" x14ac:dyDescent="0.25">
      <c r="C865" s="31" t="s">
        <v>24</v>
      </c>
      <c r="D865" s="31" t="s">
        <v>278</v>
      </c>
      <c r="E865" s="32" t="s">
        <v>277</v>
      </c>
    </row>
    <row r="866" spans="3:5" x14ac:dyDescent="0.25">
      <c r="C866" s="31" t="s">
        <v>36</v>
      </c>
      <c r="D866" s="31" t="s">
        <v>278</v>
      </c>
      <c r="E866" s="32" t="s">
        <v>279</v>
      </c>
    </row>
    <row r="867" spans="3:5" x14ac:dyDescent="0.25">
      <c r="C867" s="31" t="s">
        <v>287</v>
      </c>
      <c r="D867" s="31" t="s">
        <v>278</v>
      </c>
      <c r="E867" s="32" t="s">
        <v>279</v>
      </c>
    </row>
    <row r="868" spans="3:5" x14ac:dyDescent="0.25">
      <c r="C868" s="31" t="s">
        <v>36</v>
      </c>
      <c r="D868" s="31" t="s">
        <v>278</v>
      </c>
      <c r="E868" s="32" t="s">
        <v>279</v>
      </c>
    </row>
    <row r="869" spans="3:5" x14ac:dyDescent="0.25">
      <c r="C869" s="31" t="s">
        <v>36</v>
      </c>
      <c r="D869" s="31" t="s">
        <v>278</v>
      </c>
      <c r="E869" s="32" t="s">
        <v>279</v>
      </c>
    </row>
    <row r="870" spans="3:5" x14ac:dyDescent="0.25">
      <c r="C870" s="31" t="s">
        <v>38</v>
      </c>
      <c r="D870" s="31" t="s">
        <v>33</v>
      </c>
      <c r="E870" s="32" t="s">
        <v>277</v>
      </c>
    </row>
    <row r="871" spans="3:5" x14ac:dyDescent="0.25">
      <c r="C871" s="31" t="s">
        <v>55</v>
      </c>
      <c r="D871" s="31" t="s">
        <v>278</v>
      </c>
      <c r="E871" s="32" t="s">
        <v>277</v>
      </c>
    </row>
    <row r="872" spans="3:5" x14ac:dyDescent="0.25">
      <c r="C872" s="31" t="s">
        <v>288</v>
      </c>
      <c r="D872" s="31" t="s">
        <v>278</v>
      </c>
      <c r="E872" s="32" t="s">
        <v>277</v>
      </c>
    </row>
    <row r="873" spans="3:5" x14ac:dyDescent="0.25">
      <c r="C873" s="31" t="s">
        <v>13</v>
      </c>
      <c r="D873" s="31" t="s">
        <v>33</v>
      </c>
      <c r="E873" s="32" t="s">
        <v>279</v>
      </c>
    </row>
    <row r="874" spans="3:5" x14ac:dyDescent="0.25">
      <c r="C874" s="31" t="s">
        <v>18</v>
      </c>
      <c r="D874" s="31" t="s">
        <v>33</v>
      </c>
      <c r="E874" s="32" t="s">
        <v>279</v>
      </c>
    </row>
    <row r="875" spans="3:5" x14ac:dyDescent="0.25">
      <c r="C875" s="31" t="s">
        <v>11</v>
      </c>
      <c r="D875" s="31" t="s">
        <v>33</v>
      </c>
      <c r="E875" s="32" t="s">
        <v>279</v>
      </c>
    </row>
    <row r="876" spans="3:5" x14ac:dyDescent="0.25">
      <c r="C876" s="31" t="s">
        <v>15</v>
      </c>
      <c r="D876" s="31" t="s">
        <v>278</v>
      </c>
      <c r="E876" s="32" t="s">
        <v>279</v>
      </c>
    </row>
    <row r="877" spans="3:5" x14ac:dyDescent="0.25">
      <c r="C877" s="31" t="s">
        <v>16</v>
      </c>
      <c r="D877" s="31" t="s">
        <v>278</v>
      </c>
      <c r="E877" s="32" t="s">
        <v>279</v>
      </c>
    </row>
    <row r="878" spans="3:5" x14ac:dyDescent="0.25">
      <c r="C878" s="31" t="s">
        <v>15</v>
      </c>
      <c r="D878" s="31" t="s">
        <v>278</v>
      </c>
      <c r="E878" s="32" t="s">
        <v>279</v>
      </c>
    </row>
    <row r="879" spans="3:5" x14ac:dyDescent="0.25">
      <c r="C879" s="31" t="s">
        <v>16</v>
      </c>
      <c r="D879" s="31" t="s">
        <v>278</v>
      </c>
      <c r="E879" s="32" t="s">
        <v>279</v>
      </c>
    </row>
    <row r="880" spans="3:5" x14ac:dyDescent="0.25">
      <c r="C880" s="31" t="s">
        <v>46</v>
      </c>
      <c r="D880" s="31" t="s">
        <v>33</v>
      </c>
      <c r="E880" s="32" t="s">
        <v>277</v>
      </c>
    </row>
    <row r="881" spans="3:5" x14ac:dyDescent="0.25">
      <c r="C881" s="31" t="s">
        <v>85</v>
      </c>
      <c r="D881" s="31" t="s">
        <v>33</v>
      </c>
      <c r="E881" s="32" t="s">
        <v>277</v>
      </c>
    </row>
    <row r="882" spans="3:5" x14ac:dyDescent="0.25">
      <c r="C882" s="33" t="s">
        <v>14</v>
      </c>
      <c r="D882" s="33" t="s">
        <v>33</v>
      </c>
      <c r="E882" s="32" t="s">
        <v>279</v>
      </c>
    </row>
  </sheetData>
  <mergeCells count="5">
    <mergeCell ref="D2:I3"/>
    <mergeCell ref="J2:J4"/>
    <mergeCell ref="N3:P4"/>
    <mergeCell ref="R3:T4"/>
    <mergeCell ref="Q1:Q4"/>
  </mergeCells>
  <conditionalFormatting sqref="B6:C6">
    <cfRule type="containsText" dxfId="19" priority="7" operator="containsText" text="Top-2">
      <formula>NOT(ISERROR(SEARCH("Top-2",B6)))</formula>
    </cfRule>
  </conditionalFormatting>
  <conditionalFormatting sqref="K6:P6">
    <cfRule type="containsText" dxfId="18" priority="2" operator="containsText" text="Top-2">
      <formula>NOT(ISERROR(SEARCH("Top-2",K6)))</formula>
    </cfRule>
  </conditionalFormatting>
  <conditionalFormatting sqref="M826">
    <cfRule type="cellIs" dxfId="17" priority="8" operator="lessThan">
      <formula>0</formula>
    </cfRule>
  </conditionalFormatting>
  <conditionalFormatting sqref="P826">
    <cfRule type="cellIs" dxfId="16" priority="6" operator="lessThan">
      <formula>0</formula>
    </cfRule>
  </conditionalFormatting>
  <conditionalFormatting sqref="Q7:Q823">
    <cfRule type="cellIs" dxfId="15" priority="1" operator="equal">
      <formula>2</formula>
    </cfRule>
  </conditionalFormatting>
  <conditionalFormatting sqref="T826">
    <cfRule type="cellIs" dxfId="14" priority="4" operator="lessThan">
      <formula>0</formula>
    </cfRule>
  </conditionalFormatting>
  <conditionalFormatting sqref="U6:W6">
    <cfRule type="containsText" dxfId="13" priority="3" operator="containsText" text="Top-2">
      <formula>NOT(ISERROR(SEARCH("Top-2",U6)))</formula>
    </cfRule>
  </conditionalFormatting>
  <pageMargins left="0.31496062992125984" right="0.31496062992125984" top="0.74803149606299213" bottom="0.74803149606299213" header="0.31496062992125984" footer="0.31496062992125984"/>
  <pageSetup paperSize="9" scale="65" fitToHeight="20" orientation="landscape" r:id="rId1"/>
  <headerFooter>
    <oddHeader>&amp;CNat-Best and Elite Combo &amp;R2025</oddHeader>
    <oddFooter xml:space="preserve">&amp;Lwww.eliteracing.com.au&amp;C&amp;14Nat Best and Elite Combo UNIQUE Bets&amp;R&amp;"Calibri,Bold"&amp;14 2025 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ED87B-4A32-428A-92EC-E96FB0132561}">
  <sheetPr>
    <pageSetUpPr fitToPage="1"/>
  </sheetPr>
  <dimension ref="B2:M71"/>
  <sheetViews>
    <sheetView showGridLines="0" zoomScale="90" zoomScaleNormal="90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G16" sqref="G16"/>
    </sheetView>
  </sheetViews>
  <sheetFormatPr defaultRowHeight="15" x14ac:dyDescent="0.25"/>
  <cols>
    <col min="5" max="5" width="18.28515625" style="37" bestFit="1" customWidth="1"/>
    <col min="6" max="6" width="11.140625" style="37" customWidth="1"/>
    <col min="7" max="7" width="11.42578125" style="37" customWidth="1"/>
    <col min="8" max="9" width="11.140625" style="37" customWidth="1"/>
    <col min="10" max="11" width="9.140625" style="37"/>
    <col min="12" max="12" width="9.140625" style="3"/>
  </cols>
  <sheetData>
    <row r="2" spans="2:13" x14ac:dyDescent="0.25">
      <c r="E2" s="38" t="s">
        <v>308</v>
      </c>
      <c r="F2" s="39" t="s">
        <v>26</v>
      </c>
    </row>
    <row r="3" spans="2:13" ht="23.25" x14ac:dyDescent="0.35">
      <c r="B3" s="45">
        <v>1320</v>
      </c>
      <c r="D3" s="154" t="s">
        <v>598</v>
      </c>
      <c r="E3" s="38" t="s">
        <v>306</v>
      </c>
      <c r="F3" s="42">
        <v>1</v>
      </c>
      <c r="L3" s="153" t="s">
        <v>598</v>
      </c>
      <c r="M3" s="152" t="s">
        <v>597</v>
      </c>
    </row>
    <row r="4" spans="2:13" x14ac:dyDescent="0.25">
      <c r="E4" s="38" t="s">
        <v>57</v>
      </c>
      <c r="F4" s="39" t="s">
        <v>26</v>
      </c>
    </row>
    <row r="5" spans="2:13" x14ac:dyDescent="0.25">
      <c r="E5" s="38" t="s">
        <v>2</v>
      </c>
      <c r="F5" s="39" t="s">
        <v>26</v>
      </c>
    </row>
    <row r="6" spans="2:13" x14ac:dyDescent="0.25">
      <c r="E6" s="38" t="s">
        <v>32</v>
      </c>
      <c r="F6" s="39" t="s">
        <v>26</v>
      </c>
    </row>
    <row r="7" spans="2:13" x14ac:dyDescent="0.25">
      <c r="E7" s="38" t="s">
        <v>512</v>
      </c>
      <c r="F7" s="39" t="s">
        <v>26</v>
      </c>
    </row>
    <row r="9" spans="2:13" s="36" customFormat="1" ht="36" x14ac:dyDescent="0.25">
      <c r="E9" s="38" t="s">
        <v>0</v>
      </c>
      <c r="F9" s="40" t="s">
        <v>320</v>
      </c>
      <c r="G9" s="40" t="s">
        <v>318</v>
      </c>
      <c r="H9" s="40" t="s">
        <v>321</v>
      </c>
      <c r="I9" s="40" t="s">
        <v>319</v>
      </c>
      <c r="J9" s="41"/>
      <c r="K9" s="37"/>
      <c r="L9" s="3"/>
      <c r="M9"/>
    </row>
    <row r="10" spans="2:13" x14ac:dyDescent="0.25">
      <c r="E10" s="39" t="s">
        <v>622</v>
      </c>
      <c r="F10" s="39">
        <v>659</v>
      </c>
      <c r="G10" s="42">
        <v>81900</v>
      </c>
      <c r="H10" s="42">
        <v>105405.5</v>
      </c>
      <c r="I10" s="42">
        <v>23505.5</v>
      </c>
    </row>
    <row r="11" spans="2:13" x14ac:dyDescent="0.25">
      <c r="E11" s="157" t="s">
        <v>623</v>
      </c>
      <c r="F11" s="39">
        <v>46</v>
      </c>
      <c r="G11" s="42">
        <v>5900</v>
      </c>
      <c r="H11" s="42">
        <v>11995</v>
      </c>
      <c r="I11" s="42">
        <v>6095</v>
      </c>
    </row>
    <row r="12" spans="2:13" x14ac:dyDescent="0.25">
      <c r="E12" s="157" t="s">
        <v>624</v>
      </c>
      <c r="F12" s="39">
        <v>54</v>
      </c>
      <c r="G12" s="42">
        <v>6650</v>
      </c>
      <c r="H12" s="42">
        <v>11572</v>
      </c>
      <c r="I12" s="42">
        <v>4922</v>
      </c>
    </row>
    <row r="13" spans="2:13" x14ac:dyDescent="0.25">
      <c r="E13" s="157" t="s">
        <v>625</v>
      </c>
      <c r="F13" s="39">
        <v>78</v>
      </c>
      <c r="G13" s="42">
        <v>9770</v>
      </c>
      <c r="H13" s="42">
        <v>15107.5</v>
      </c>
      <c r="I13" s="42">
        <v>5337.5</v>
      </c>
    </row>
    <row r="14" spans="2:13" x14ac:dyDescent="0.25">
      <c r="E14" s="157" t="s">
        <v>626</v>
      </c>
      <c r="F14" s="39">
        <v>43</v>
      </c>
      <c r="G14" s="42">
        <v>5670</v>
      </c>
      <c r="H14" s="42">
        <v>5974.5</v>
      </c>
      <c r="I14" s="42">
        <v>304.50000000000011</v>
      </c>
    </row>
    <row r="15" spans="2:13" x14ac:dyDescent="0.25">
      <c r="E15" s="157" t="s">
        <v>627</v>
      </c>
      <c r="F15" s="39">
        <v>50</v>
      </c>
      <c r="G15" s="42">
        <v>5790</v>
      </c>
      <c r="H15" s="42">
        <v>7451.5</v>
      </c>
      <c r="I15" s="42">
        <v>1661.5</v>
      </c>
    </row>
    <row r="16" spans="2:13" x14ac:dyDescent="0.25">
      <c r="E16" s="157" t="s">
        <v>628</v>
      </c>
      <c r="F16" s="39">
        <v>46</v>
      </c>
      <c r="G16" s="42">
        <v>5370</v>
      </c>
      <c r="H16" s="42">
        <v>5755</v>
      </c>
      <c r="I16" s="42">
        <v>384.99999999999994</v>
      </c>
    </row>
    <row r="17" spans="5:9" x14ac:dyDescent="0.25">
      <c r="E17" s="157" t="s">
        <v>629</v>
      </c>
      <c r="F17" s="39">
        <v>42</v>
      </c>
      <c r="G17" s="42">
        <v>5260</v>
      </c>
      <c r="H17" s="42">
        <v>4408</v>
      </c>
      <c r="I17" s="42">
        <v>-852</v>
      </c>
    </row>
    <row r="18" spans="5:9" x14ac:dyDescent="0.25">
      <c r="E18" s="157" t="s">
        <v>630</v>
      </c>
      <c r="F18" s="39">
        <v>64</v>
      </c>
      <c r="G18" s="42">
        <v>7700</v>
      </c>
      <c r="H18" s="42">
        <v>8919</v>
      </c>
      <c r="I18" s="42">
        <v>1219</v>
      </c>
    </row>
    <row r="19" spans="5:9" x14ac:dyDescent="0.25">
      <c r="E19" s="157" t="s">
        <v>631</v>
      </c>
      <c r="F19" s="39">
        <v>64</v>
      </c>
      <c r="G19" s="42">
        <v>8380</v>
      </c>
      <c r="H19" s="42">
        <v>9727.5</v>
      </c>
      <c r="I19" s="42">
        <v>1347.5</v>
      </c>
    </row>
    <row r="20" spans="5:9" x14ac:dyDescent="0.25">
      <c r="E20" s="157" t="s">
        <v>632</v>
      </c>
      <c r="F20" s="39">
        <v>48</v>
      </c>
      <c r="G20" s="42">
        <v>5630</v>
      </c>
      <c r="H20" s="42">
        <v>9273.5</v>
      </c>
      <c r="I20" s="42">
        <v>3643.5</v>
      </c>
    </row>
    <row r="21" spans="5:9" x14ac:dyDescent="0.25">
      <c r="E21" s="157" t="s">
        <v>633</v>
      </c>
      <c r="F21" s="39">
        <v>70</v>
      </c>
      <c r="G21" s="42">
        <v>8590</v>
      </c>
      <c r="H21" s="42">
        <v>8728.5</v>
      </c>
      <c r="I21" s="42">
        <v>138.5</v>
      </c>
    </row>
    <row r="22" spans="5:9" x14ac:dyDescent="0.25">
      <c r="E22" s="157" t="s">
        <v>634</v>
      </c>
      <c r="F22" s="39">
        <v>54</v>
      </c>
      <c r="G22" s="42">
        <v>7190</v>
      </c>
      <c r="H22" s="42">
        <v>6493.5</v>
      </c>
      <c r="I22" s="42">
        <v>-696.5</v>
      </c>
    </row>
    <row r="23" spans="5:9" x14ac:dyDescent="0.25">
      <c r="E23" s="39" t="s">
        <v>635</v>
      </c>
      <c r="F23" s="39">
        <v>83</v>
      </c>
      <c r="G23" s="42">
        <v>10460</v>
      </c>
      <c r="H23" s="42">
        <v>10818</v>
      </c>
      <c r="I23" s="42">
        <v>358</v>
      </c>
    </row>
    <row r="24" spans="5:9" x14ac:dyDescent="0.25">
      <c r="E24" s="157" t="s">
        <v>623</v>
      </c>
      <c r="F24" s="39">
        <v>67</v>
      </c>
      <c r="G24" s="42">
        <v>8310</v>
      </c>
      <c r="H24" s="42">
        <v>7550.5</v>
      </c>
      <c r="I24" s="42">
        <v>-759.5</v>
      </c>
    </row>
    <row r="25" spans="5:9" x14ac:dyDescent="0.25">
      <c r="E25" s="157" t="s">
        <v>624</v>
      </c>
      <c r="F25" s="39">
        <v>16</v>
      </c>
      <c r="G25" s="42">
        <v>2150</v>
      </c>
      <c r="H25" s="42">
        <v>3267.5</v>
      </c>
      <c r="I25" s="42">
        <v>1117.5</v>
      </c>
    </row>
    <row r="26" spans="5:9" x14ac:dyDescent="0.25">
      <c r="E26" s="156" t="s">
        <v>25</v>
      </c>
      <c r="F26" s="156">
        <v>742</v>
      </c>
      <c r="G26" s="59">
        <v>92360</v>
      </c>
      <c r="H26" s="59">
        <v>116223.5</v>
      </c>
      <c r="I26" s="59">
        <v>23863.5</v>
      </c>
    </row>
    <row r="27" spans="5:9" x14ac:dyDescent="0.25">
      <c r="E27"/>
      <c r="F27"/>
      <c r="G27"/>
      <c r="H27"/>
      <c r="I27"/>
    </row>
    <row r="28" spans="5:9" x14ac:dyDescent="0.25">
      <c r="E28"/>
      <c r="F28"/>
      <c r="G28"/>
      <c r="H28"/>
      <c r="I28"/>
    </row>
    <row r="29" spans="5:9" x14ac:dyDescent="0.25">
      <c r="E29"/>
      <c r="F29"/>
      <c r="G29"/>
      <c r="H29"/>
      <c r="I29"/>
    </row>
    <row r="30" spans="5:9" x14ac:dyDescent="0.25">
      <c r="E30"/>
      <c r="F30"/>
      <c r="G30"/>
      <c r="H30"/>
      <c r="I30"/>
    </row>
    <row r="31" spans="5:9" x14ac:dyDescent="0.25">
      <c r="E31"/>
      <c r="F31"/>
      <c r="G31"/>
      <c r="H31"/>
      <c r="I31"/>
    </row>
    <row r="32" spans="5:9" x14ac:dyDescent="0.25">
      <c r="E32"/>
      <c r="F32"/>
      <c r="G32"/>
      <c r="H32"/>
      <c r="I32"/>
    </row>
    <row r="33" spans="5:9" x14ac:dyDescent="0.25">
      <c r="E33"/>
      <c r="F33"/>
      <c r="G33"/>
      <c r="H33"/>
      <c r="I33"/>
    </row>
    <row r="34" spans="5:9" x14ac:dyDescent="0.25">
      <c r="E34"/>
      <c r="F34"/>
      <c r="G34"/>
      <c r="H34"/>
      <c r="I34"/>
    </row>
    <row r="35" spans="5:9" x14ac:dyDescent="0.25">
      <c r="E35"/>
      <c r="F35"/>
      <c r="G35"/>
      <c r="H35"/>
      <c r="I35"/>
    </row>
    <row r="36" spans="5:9" x14ac:dyDescent="0.25">
      <c r="E36"/>
      <c r="F36"/>
      <c r="G36"/>
      <c r="H36"/>
      <c r="I36"/>
    </row>
    <row r="37" spans="5:9" x14ac:dyDescent="0.25">
      <c r="E37"/>
      <c r="F37"/>
      <c r="G37"/>
      <c r="H37"/>
      <c r="I37"/>
    </row>
    <row r="38" spans="5:9" x14ac:dyDescent="0.25">
      <c r="E38"/>
      <c r="F38"/>
      <c r="G38"/>
      <c r="H38"/>
      <c r="I38"/>
    </row>
    <row r="39" spans="5:9" x14ac:dyDescent="0.25">
      <c r="E39"/>
      <c r="F39"/>
      <c r="G39"/>
      <c r="H39"/>
      <c r="I39"/>
    </row>
    <row r="40" spans="5:9" x14ac:dyDescent="0.25">
      <c r="E40"/>
      <c r="F40"/>
      <c r="G40"/>
      <c r="H40"/>
      <c r="I40"/>
    </row>
    <row r="41" spans="5:9" x14ac:dyDescent="0.25">
      <c r="E41"/>
      <c r="F41"/>
      <c r="G41"/>
      <c r="H41"/>
      <c r="I41"/>
    </row>
    <row r="42" spans="5:9" x14ac:dyDescent="0.25">
      <c r="E42"/>
      <c r="F42"/>
      <c r="G42"/>
      <c r="H42"/>
      <c r="I42"/>
    </row>
    <row r="43" spans="5:9" x14ac:dyDescent="0.25">
      <c r="E43"/>
      <c r="F43"/>
      <c r="G43"/>
      <c r="H43"/>
      <c r="I43"/>
    </row>
    <row r="44" spans="5:9" x14ac:dyDescent="0.25">
      <c r="E44"/>
      <c r="F44"/>
      <c r="G44"/>
      <c r="H44"/>
      <c r="I44"/>
    </row>
    <row r="45" spans="5:9" x14ac:dyDescent="0.25">
      <c r="E45"/>
      <c r="F45"/>
      <c r="G45"/>
      <c r="H45"/>
      <c r="I45"/>
    </row>
    <row r="46" spans="5:9" x14ac:dyDescent="0.25">
      <c r="E46"/>
      <c r="F46"/>
      <c r="G46"/>
      <c r="H46"/>
      <c r="I46"/>
    </row>
    <row r="47" spans="5:9" x14ac:dyDescent="0.25">
      <c r="E47"/>
      <c r="F47"/>
      <c r="G47"/>
      <c r="H47"/>
      <c r="I47"/>
    </row>
    <row r="48" spans="5:9" x14ac:dyDescent="0.25">
      <c r="E48"/>
      <c r="F48"/>
      <c r="G48"/>
      <c r="H48"/>
      <c r="I48"/>
    </row>
    <row r="49" spans="5:12" x14ac:dyDescent="0.25">
      <c r="E49"/>
      <c r="F49"/>
      <c r="G49"/>
      <c r="H49"/>
      <c r="I49"/>
    </row>
    <row r="50" spans="5:12" x14ac:dyDescent="0.25">
      <c r="E50"/>
      <c r="F50"/>
      <c r="G50"/>
      <c r="H50"/>
      <c r="I50"/>
    </row>
    <row r="51" spans="5:12" x14ac:dyDescent="0.25">
      <c r="E51"/>
      <c r="F51"/>
      <c r="G51"/>
      <c r="H51"/>
      <c r="I51"/>
    </row>
    <row r="52" spans="5:12" x14ac:dyDescent="0.25">
      <c r="E52"/>
      <c r="F52"/>
      <c r="G52"/>
      <c r="H52"/>
      <c r="I52"/>
    </row>
    <row r="53" spans="5:12" x14ac:dyDescent="0.25">
      <c r="E53"/>
      <c r="F53"/>
      <c r="G53"/>
      <c r="H53"/>
      <c r="I53"/>
    </row>
    <row r="54" spans="5:12" x14ac:dyDescent="0.25">
      <c r="E54"/>
      <c r="F54"/>
      <c r="G54"/>
      <c r="H54"/>
      <c r="I54"/>
    </row>
    <row r="55" spans="5:12" x14ac:dyDescent="0.25">
      <c r="E55"/>
      <c r="F55"/>
      <c r="G55"/>
      <c r="H55"/>
      <c r="I55"/>
    </row>
    <row r="56" spans="5:12" x14ac:dyDescent="0.25">
      <c r="E56"/>
      <c r="F56"/>
      <c r="G56"/>
      <c r="H56"/>
      <c r="I56"/>
    </row>
    <row r="57" spans="5:12" x14ac:dyDescent="0.25">
      <c r="E57"/>
      <c r="F57"/>
      <c r="G57"/>
      <c r="H57"/>
      <c r="I57"/>
    </row>
    <row r="58" spans="5:12" x14ac:dyDescent="0.25">
      <c r="E58"/>
      <c r="F58"/>
      <c r="G58"/>
      <c r="H58"/>
      <c r="I58"/>
    </row>
    <row r="59" spans="5:12" x14ac:dyDescent="0.25">
      <c r="E59"/>
      <c r="F59"/>
      <c r="G59"/>
      <c r="H59"/>
      <c r="I59"/>
    </row>
    <row r="60" spans="5:12" s="58" customFormat="1" x14ac:dyDescent="0.25">
      <c r="E60"/>
      <c r="F60"/>
      <c r="G60"/>
      <c r="H60"/>
      <c r="I60"/>
      <c r="J60" s="118"/>
      <c r="K60" s="118"/>
      <c r="L60" s="10"/>
    </row>
    <row r="61" spans="5:12" x14ac:dyDescent="0.25">
      <c r="E61"/>
      <c r="F61"/>
      <c r="G61"/>
      <c r="H61"/>
      <c r="I61"/>
    </row>
    <row r="62" spans="5:12" x14ac:dyDescent="0.25">
      <c r="E62"/>
      <c r="F62"/>
      <c r="G62"/>
      <c r="H62"/>
      <c r="I62"/>
    </row>
    <row r="63" spans="5:12" x14ac:dyDescent="0.25">
      <c r="E63"/>
      <c r="F63"/>
      <c r="G63"/>
      <c r="H63"/>
      <c r="I63"/>
    </row>
    <row r="64" spans="5:12" x14ac:dyDescent="0.25">
      <c r="E64"/>
      <c r="F64"/>
      <c r="G64"/>
      <c r="H64"/>
      <c r="I64"/>
    </row>
    <row r="65" spans="5:9" x14ac:dyDescent="0.25">
      <c r="E65"/>
      <c r="F65"/>
      <c r="G65"/>
      <c r="H65"/>
      <c r="I65"/>
    </row>
    <row r="66" spans="5:9" x14ac:dyDescent="0.25">
      <c r="E66"/>
      <c r="F66"/>
      <c r="G66"/>
      <c r="H66"/>
      <c r="I66"/>
    </row>
    <row r="67" spans="5:9" x14ac:dyDescent="0.25">
      <c r="E67"/>
      <c r="F67"/>
      <c r="G67"/>
      <c r="H67"/>
      <c r="I67"/>
    </row>
    <row r="68" spans="5:9" x14ac:dyDescent="0.25">
      <c r="E68"/>
      <c r="F68"/>
      <c r="G68"/>
      <c r="H68"/>
      <c r="I68"/>
    </row>
    <row r="69" spans="5:9" x14ac:dyDescent="0.25">
      <c r="E69"/>
      <c r="F69"/>
      <c r="G69"/>
      <c r="H69"/>
      <c r="I69"/>
    </row>
    <row r="70" spans="5:9" x14ac:dyDescent="0.25">
      <c r="E70"/>
      <c r="F70"/>
      <c r="G70"/>
      <c r="H70"/>
      <c r="I70"/>
    </row>
    <row r="71" spans="5:9" x14ac:dyDescent="0.25">
      <c r="E71"/>
      <c r="F71"/>
      <c r="G71"/>
      <c r="H71"/>
      <c r="I71"/>
    </row>
  </sheetData>
  <conditionalFormatting sqref="B3">
    <cfRule type="cellIs" dxfId="49" priority="4" operator="greaterThan">
      <formula>0</formula>
    </cfRule>
  </conditionalFormatting>
  <conditionalFormatting sqref="B3">
    <cfRule type="cellIs" dxfId="48" priority="3" operator="lessThan">
      <formula>0</formula>
    </cfRule>
  </conditionalFormatting>
  <conditionalFormatting pivot="1" sqref="I10:I26">
    <cfRule type="cellIs" dxfId="47" priority="2" operator="greaterThan">
      <formula>0</formula>
    </cfRule>
  </conditionalFormatting>
  <conditionalFormatting pivot="1" sqref="I10:I26">
    <cfRule type="cellIs" dxfId="4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73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A9A90-2AD7-4A4C-935C-6622ACECDFAB}">
  <sheetPr filterMode="1">
    <pageSetUpPr fitToPage="1"/>
  </sheetPr>
  <dimension ref="B5:AH74"/>
  <sheetViews>
    <sheetView showGridLines="0" tabSelected="1" zoomScale="90" zoomScaleNormal="90" workbookViewId="0">
      <pane xSplit="4" ySplit="9" topLeftCell="E46" activePane="bottomRight" state="frozen"/>
      <selection pane="topRight" activeCell="E1" sqref="E1"/>
      <selection pane="bottomLeft" activeCell="A10" sqref="A10"/>
      <selection pane="bottomRight" activeCell="S85" sqref="S85"/>
    </sheetView>
  </sheetViews>
  <sheetFormatPr defaultRowHeight="15" x14ac:dyDescent="0.25"/>
  <cols>
    <col min="4" max="4" width="14" customWidth="1"/>
    <col min="5" max="6" width="7.140625" customWidth="1"/>
    <col min="7" max="7" width="8.42578125" customWidth="1"/>
    <col min="8" max="8" width="8.140625" customWidth="1"/>
    <col min="9" max="9" width="7.140625" customWidth="1"/>
    <col min="10" max="10" width="8.42578125" customWidth="1"/>
    <col min="11" max="11" width="7.7109375" customWidth="1"/>
    <col min="12" max="12" width="7.140625" customWidth="1"/>
    <col min="13" max="13" width="8" customWidth="1"/>
    <col min="16" max="16" width="9.7109375" customWidth="1"/>
    <col min="20" max="20" width="9.140625" style="58"/>
    <col min="22" max="22" width="9.5703125" customWidth="1"/>
    <col min="23" max="23" width="6.42578125" customWidth="1"/>
    <col min="24" max="25" width="7.7109375" customWidth="1"/>
    <col min="26" max="26" width="7.7109375" style="58" customWidth="1"/>
    <col min="27" max="27" width="6.42578125" customWidth="1"/>
    <col min="28" max="29" width="7.7109375" customWidth="1"/>
    <col min="30" max="30" width="7.7109375" style="58" customWidth="1"/>
    <col min="31" max="31" width="6.42578125" customWidth="1"/>
    <col min="32" max="33" width="7.7109375" customWidth="1"/>
    <col min="34" max="34" width="6.85546875" style="58" customWidth="1"/>
  </cols>
  <sheetData>
    <row r="5" spans="2:34" ht="15.75" thickBot="1" x14ac:dyDescent="0.3"/>
    <row r="6" spans="2:34" ht="33.75" customHeight="1" thickBot="1" x14ac:dyDescent="0.3">
      <c r="D6" s="120"/>
      <c r="E6" s="174" t="s">
        <v>507</v>
      </c>
      <c r="F6" s="174"/>
      <c r="G6" s="175"/>
      <c r="H6" s="174" t="s">
        <v>502</v>
      </c>
      <c r="I6" s="174"/>
      <c r="J6" s="176"/>
      <c r="K6" s="177" t="s">
        <v>503</v>
      </c>
      <c r="L6" s="177"/>
      <c r="M6" s="178"/>
      <c r="P6" s="179" t="s">
        <v>513</v>
      </c>
      <c r="Q6" s="180"/>
      <c r="R6" s="180"/>
      <c r="S6" s="180"/>
      <c r="T6" s="181"/>
      <c r="V6" s="168" t="s">
        <v>515</v>
      </c>
      <c r="W6" s="169"/>
      <c r="X6" s="169"/>
      <c r="Y6" s="169"/>
      <c r="Z6" s="170"/>
      <c r="AA6" s="168" t="s">
        <v>516</v>
      </c>
      <c r="AB6" s="169"/>
      <c r="AC6" s="169"/>
      <c r="AD6" s="170"/>
      <c r="AE6" s="171" t="s">
        <v>503</v>
      </c>
      <c r="AF6" s="172"/>
      <c r="AG6" s="172"/>
      <c r="AH6" s="173"/>
    </row>
    <row r="7" spans="2:34" ht="37.5" customHeight="1" thickBot="1" x14ac:dyDescent="0.3">
      <c r="D7" s="121">
        <v>2025</v>
      </c>
      <c r="E7" s="122" t="s">
        <v>504</v>
      </c>
      <c r="F7" s="122" t="s">
        <v>505</v>
      </c>
      <c r="G7" s="122" t="s">
        <v>35</v>
      </c>
      <c r="H7" s="122" t="s">
        <v>504</v>
      </c>
      <c r="I7" s="122" t="s">
        <v>505</v>
      </c>
      <c r="J7" s="123" t="s">
        <v>35</v>
      </c>
      <c r="K7" s="122" t="s">
        <v>504</v>
      </c>
      <c r="L7" s="122" t="s">
        <v>505</v>
      </c>
      <c r="M7" s="123" t="s">
        <v>35</v>
      </c>
      <c r="P7" s="104" t="s">
        <v>0</v>
      </c>
      <c r="Q7" s="105" t="s">
        <v>504</v>
      </c>
      <c r="R7" s="105" t="s">
        <v>520</v>
      </c>
      <c r="S7" s="105" t="s">
        <v>518</v>
      </c>
      <c r="T7" s="106" t="s">
        <v>35</v>
      </c>
      <c r="V7" s="73" t="s">
        <v>514</v>
      </c>
      <c r="W7" s="74" t="s">
        <v>504</v>
      </c>
      <c r="X7" s="74" t="s">
        <v>517</v>
      </c>
      <c r="Y7" s="74" t="s">
        <v>518</v>
      </c>
      <c r="Z7" s="75" t="s">
        <v>35</v>
      </c>
      <c r="AA7" s="87" t="s">
        <v>504</v>
      </c>
      <c r="AB7" s="88" t="s">
        <v>517</v>
      </c>
      <c r="AC7" s="88" t="s">
        <v>518</v>
      </c>
      <c r="AD7" s="89" t="s">
        <v>35</v>
      </c>
      <c r="AE7" s="97" t="s">
        <v>504</v>
      </c>
      <c r="AF7" s="98" t="s">
        <v>517</v>
      </c>
      <c r="AG7" s="98" t="s">
        <v>518</v>
      </c>
      <c r="AH7" s="99" t="s">
        <v>35</v>
      </c>
    </row>
    <row r="8" spans="2:34" ht="18" hidden="1" customHeight="1" x14ac:dyDescent="0.35">
      <c r="B8" s="48"/>
      <c r="D8" s="141">
        <v>45661</v>
      </c>
      <c r="E8" s="33">
        <v>1</v>
      </c>
      <c r="F8" s="33">
        <v>1</v>
      </c>
      <c r="G8" s="50">
        <v>3000</v>
      </c>
      <c r="H8" s="33">
        <v>10</v>
      </c>
      <c r="I8" s="33">
        <v>4</v>
      </c>
      <c r="J8" s="50">
        <v>1170</v>
      </c>
      <c r="K8" s="33">
        <f t="shared" ref="K8:K39" si="0">E8+H8</f>
        <v>11</v>
      </c>
      <c r="L8" s="33">
        <f t="shared" ref="L8:L39" si="1">F8+I8</f>
        <v>5</v>
      </c>
      <c r="M8" s="50">
        <f t="shared" ref="M8:M39" si="2">G8+J8</f>
        <v>4170</v>
      </c>
      <c r="P8" s="100">
        <f>D8</f>
        <v>45661</v>
      </c>
      <c r="Q8" s="70">
        <v>11</v>
      </c>
      <c r="R8" s="71">
        <v>1420</v>
      </c>
      <c r="S8" s="71">
        <v>5590</v>
      </c>
      <c r="T8" s="72">
        <f>S8-R8</f>
        <v>4170</v>
      </c>
      <c r="V8" s="100">
        <f>D8</f>
        <v>45661</v>
      </c>
      <c r="W8" s="70">
        <v>10</v>
      </c>
      <c r="X8" s="71">
        <v>1220</v>
      </c>
      <c r="Y8" s="71">
        <v>2390</v>
      </c>
      <c r="Z8" s="72">
        <v>1170</v>
      </c>
      <c r="AA8" s="85">
        <v>1</v>
      </c>
      <c r="AB8" s="85">
        <v>200</v>
      </c>
      <c r="AC8" s="85">
        <v>3200</v>
      </c>
      <c r="AD8" s="86">
        <v>3000</v>
      </c>
      <c r="AE8" s="85">
        <f>W8+AA8</f>
        <v>11</v>
      </c>
      <c r="AF8" s="85">
        <f t="shared" ref="AF8:AH8" si="3">X8+AB8</f>
        <v>1420</v>
      </c>
      <c r="AG8" s="85">
        <f t="shared" si="3"/>
        <v>5590</v>
      </c>
      <c r="AH8" s="86">
        <f t="shared" si="3"/>
        <v>4170</v>
      </c>
    </row>
    <row r="9" spans="2:34" ht="18" hidden="1" customHeight="1" x14ac:dyDescent="0.35">
      <c r="B9" s="48"/>
      <c r="D9" s="141">
        <v>45668</v>
      </c>
      <c r="E9" s="33">
        <v>3</v>
      </c>
      <c r="G9" s="50">
        <v>-350</v>
      </c>
      <c r="H9" s="33">
        <v>8</v>
      </c>
      <c r="I9" s="33">
        <v>3</v>
      </c>
      <c r="J9" s="50">
        <v>595</v>
      </c>
      <c r="K9" s="33">
        <f t="shared" si="0"/>
        <v>11</v>
      </c>
      <c r="L9" s="33">
        <f t="shared" si="1"/>
        <v>3</v>
      </c>
      <c r="M9" s="50">
        <f t="shared" si="2"/>
        <v>245</v>
      </c>
      <c r="P9" s="100">
        <f t="shared" ref="P9:P69" si="4">D9</f>
        <v>45668</v>
      </c>
      <c r="Q9" s="39">
        <v>10</v>
      </c>
      <c r="R9" s="42">
        <v>1260</v>
      </c>
      <c r="S9" s="42">
        <v>1555</v>
      </c>
      <c r="T9" s="72">
        <f t="shared" ref="T9:T60" si="5">S9-R9</f>
        <v>295</v>
      </c>
      <c r="V9" s="100">
        <f t="shared" ref="V9:V69" si="6">D9</f>
        <v>45668</v>
      </c>
      <c r="W9" s="39">
        <v>8</v>
      </c>
      <c r="X9" s="42">
        <v>960</v>
      </c>
      <c r="Y9" s="42">
        <v>1555</v>
      </c>
      <c r="Z9" s="59">
        <v>595</v>
      </c>
      <c r="AA9" s="49">
        <v>3</v>
      </c>
      <c r="AB9" s="49">
        <v>350</v>
      </c>
      <c r="AC9" s="49">
        <v>0</v>
      </c>
      <c r="AD9" s="50">
        <v>-350</v>
      </c>
      <c r="AE9" s="49">
        <f t="shared" ref="AE9:AE52" si="7">W9+AA9</f>
        <v>11</v>
      </c>
      <c r="AF9" s="49">
        <f t="shared" ref="AF9:AF53" si="8">X9+AB9</f>
        <v>1310</v>
      </c>
      <c r="AG9" s="49">
        <f t="shared" ref="AG9:AG53" si="9">Y9+AC9</f>
        <v>1555</v>
      </c>
      <c r="AH9" s="50">
        <f t="shared" ref="AH9:AH53" si="10">Z9+AD9</f>
        <v>245</v>
      </c>
    </row>
    <row r="10" spans="2:34" ht="18" hidden="1" customHeight="1" x14ac:dyDescent="0.35">
      <c r="B10" s="48"/>
      <c r="D10" s="141">
        <v>45675</v>
      </c>
      <c r="E10" s="33">
        <v>9</v>
      </c>
      <c r="F10" s="33">
        <v>3</v>
      </c>
      <c r="G10" s="50">
        <v>920</v>
      </c>
      <c r="H10" s="33">
        <v>8</v>
      </c>
      <c r="I10" s="33">
        <v>2</v>
      </c>
      <c r="J10" s="50">
        <v>60</v>
      </c>
      <c r="K10" s="33">
        <f t="shared" si="0"/>
        <v>17</v>
      </c>
      <c r="L10" s="33">
        <f t="shared" si="1"/>
        <v>5</v>
      </c>
      <c r="M10" s="50">
        <f t="shared" si="2"/>
        <v>980</v>
      </c>
      <c r="P10" s="100">
        <f t="shared" si="4"/>
        <v>45675</v>
      </c>
      <c r="Q10" s="39">
        <v>15</v>
      </c>
      <c r="R10" s="42">
        <v>2010</v>
      </c>
      <c r="S10" s="42">
        <v>3240</v>
      </c>
      <c r="T10" s="72">
        <f t="shared" si="5"/>
        <v>1230</v>
      </c>
      <c r="V10" s="100">
        <f t="shared" si="6"/>
        <v>45675</v>
      </c>
      <c r="W10" s="39">
        <v>8</v>
      </c>
      <c r="X10" s="42">
        <v>1060</v>
      </c>
      <c r="Y10" s="42">
        <v>1120</v>
      </c>
      <c r="Z10" s="59">
        <v>60</v>
      </c>
      <c r="AA10" s="49">
        <v>9</v>
      </c>
      <c r="AB10" s="49">
        <v>1200</v>
      </c>
      <c r="AC10" s="49">
        <v>2120</v>
      </c>
      <c r="AD10" s="50">
        <v>920</v>
      </c>
      <c r="AE10" s="49">
        <f t="shared" si="7"/>
        <v>17</v>
      </c>
      <c r="AF10" s="49">
        <f t="shared" si="8"/>
        <v>2260</v>
      </c>
      <c r="AG10" s="49">
        <f t="shared" si="9"/>
        <v>3240</v>
      </c>
      <c r="AH10" s="50">
        <f t="shared" si="10"/>
        <v>980</v>
      </c>
    </row>
    <row r="11" spans="2:34" ht="18" hidden="1" customHeight="1" x14ac:dyDescent="0.35">
      <c r="B11" s="48"/>
      <c r="D11" s="141">
        <v>45682</v>
      </c>
      <c r="E11" s="33">
        <v>2</v>
      </c>
      <c r="F11" s="33">
        <v>1</v>
      </c>
      <c r="G11" s="50">
        <v>130</v>
      </c>
      <c r="H11" s="33">
        <v>9</v>
      </c>
      <c r="I11" s="33">
        <v>4</v>
      </c>
      <c r="J11" s="50">
        <v>615</v>
      </c>
      <c r="K11" s="33">
        <f t="shared" si="0"/>
        <v>11</v>
      </c>
      <c r="L11" s="33">
        <f t="shared" si="1"/>
        <v>5</v>
      </c>
      <c r="M11" s="50">
        <f t="shared" si="2"/>
        <v>745</v>
      </c>
      <c r="P11" s="100">
        <f t="shared" si="4"/>
        <v>45682</v>
      </c>
      <c r="Q11" s="39">
        <v>10</v>
      </c>
      <c r="R11" s="42">
        <v>1260</v>
      </c>
      <c r="S11" s="42">
        <v>1775</v>
      </c>
      <c r="T11" s="72">
        <f t="shared" si="5"/>
        <v>515</v>
      </c>
      <c r="V11" s="100">
        <f t="shared" si="6"/>
        <v>45682</v>
      </c>
      <c r="W11" s="39">
        <v>9</v>
      </c>
      <c r="X11" s="42">
        <v>1160</v>
      </c>
      <c r="Y11" s="42">
        <v>1775</v>
      </c>
      <c r="Z11" s="59">
        <v>615</v>
      </c>
      <c r="AA11" s="49">
        <v>2</v>
      </c>
      <c r="AB11" s="49">
        <v>200</v>
      </c>
      <c r="AC11" s="49">
        <v>330</v>
      </c>
      <c r="AD11" s="50">
        <v>130</v>
      </c>
      <c r="AE11" s="49">
        <f t="shared" si="7"/>
        <v>11</v>
      </c>
      <c r="AF11" s="49">
        <f t="shared" si="8"/>
        <v>1360</v>
      </c>
      <c r="AG11" s="49">
        <f t="shared" si="9"/>
        <v>2105</v>
      </c>
      <c r="AH11" s="50">
        <f t="shared" si="10"/>
        <v>745</v>
      </c>
    </row>
    <row r="12" spans="2:34" ht="18" hidden="1" customHeight="1" x14ac:dyDescent="0.35">
      <c r="B12" s="48"/>
      <c r="D12" s="141">
        <v>45689</v>
      </c>
      <c r="E12" s="33">
        <v>9</v>
      </c>
      <c r="F12" s="33">
        <v>6</v>
      </c>
      <c r="G12" s="50">
        <v>1320</v>
      </c>
      <c r="H12" s="33">
        <v>10</v>
      </c>
      <c r="I12" s="33">
        <v>5</v>
      </c>
      <c r="J12" s="50">
        <v>1229</v>
      </c>
      <c r="K12" s="33">
        <f t="shared" si="0"/>
        <v>19</v>
      </c>
      <c r="L12" s="33">
        <f t="shared" si="1"/>
        <v>11</v>
      </c>
      <c r="M12" s="50">
        <f t="shared" si="2"/>
        <v>2549</v>
      </c>
      <c r="P12" s="100">
        <f t="shared" si="4"/>
        <v>45689</v>
      </c>
      <c r="Q12" s="39">
        <v>17</v>
      </c>
      <c r="R12" s="42">
        <v>2120</v>
      </c>
      <c r="S12" s="42">
        <v>4371</v>
      </c>
      <c r="T12" s="72">
        <f t="shared" si="5"/>
        <v>2251</v>
      </c>
      <c r="V12" s="100">
        <f t="shared" si="6"/>
        <v>45689</v>
      </c>
      <c r="W12" s="39">
        <v>10</v>
      </c>
      <c r="X12" s="42">
        <v>1230</v>
      </c>
      <c r="Y12" s="42">
        <v>2459</v>
      </c>
      <c r="Z12" s="59">
        <v>1229</v>
      </c>
      <c r="AA12" s="49">
        <v>9</v>
      </c>
      <c r="AB12" s="49">
        <v>1150</v>
      </c>
      <c r="AC12" s="49">
        <v>2470</v>
      </c>
      <c r="AD12" s="50">
        <v>1320</v>
      </c>
      <c r="AE12" s="49">
        <f t="shared" si="7"/>
        <v>19</v>
      </c>
      <c r="AF12" s="49">
        <f t="shared" si="8"/>
        <v>2380</v>
      </c>
      <c r="AG12" s="49">
        <f t="shared" si="9"/>
        <v>4929</v>
      </c>
      <c r="AH12" s="50">
        <f t="shared" si="10"/>
        <v>2549</v>
      </c>
    </row>
    <row r="13" spans="2:34" ht="18" hidden="1" customHeight="1" x14ac:dyDescent="0.35">
      <c r="B13" s="48"/>
      <c r="D13" s="141">
        <v>45696</v>
      </c>
      <c r="E13" s="33">
        <v>10</v>
      </c>
      <c r="F13" s="33">
        <v>3</v>
      </c>
      <c r="G13" s="50">
        <v>-80</v>
      </c>
      <c r="H13" s="33">
        <v>8</v>
      </c>
      <c r="I13" s="33">
        <v>3</v>
      </c>
      <c r="J13" s="50">
        <v>266</v>
      </c>
      <c r="K13" s="33">
        <f t="shared" si="0"/>
        <v>18</v>
      </c>
      <c r="L13" s="33">
        <f t="shared" si="1"/>
        <v>6</v>
      </c>
      <c r="M13" s="50">
        <f t="shared" si="2"/>
        <v>186</v>
      </c>
      <c r="P13" s="100">
        <f t="shared" si="4"/>
        <v>45696</v>
      </c>
      <c r="Q13" s="39">
        <v>16</v>
      </c>
      <c r="R13" s="42">
        <v>2080</v>
      </c>
      <c r="S13" s="42">
        <v>2196</v>
      </c>
      <c r="T13" s="72">
        <f t="shared" si="5"/>
        <v>116</v>
      </c>
      <c r="V13" s="100">
        <f t="shared" si="6"/>
        <v>45696</v>
      </c>
      <c r="W13" s="39">
        <v>8</v>
      </c>
      <c r="X13" s="42">
        <v>1160</v>
      </c>
      <c r="Y13" s="42">
        <v>1426</v>
      </c>
      <c r="Z13" s="59">
        <v>266</v>
      </c>
      <c r="AA13" s="49">
        <v>10</v>
      </c>
      <c r="AB13" s="49">
        <v>1150</v>
      </c>
      <c r="AC13" s="49">
        <v>1070</v>
      </c>
      <c r="AD13" s="50">
        <v>-80</v>
      </c>
      <c r="AE13" s="49">
        <f t="shared" si="7"/>
        <v>18</v>
      </c>
      <c r="AF13" s="49">
        <f t="shared" si="8"/>
        <v>2310</v>
      </c>
      <c r="AG13" s="49">
        <f t="shared" si="9"/>
        <v>2496</v>
      </c>
      <c r="AH13" s="50">
        <f t="shared" si="10"/>
        <v>186</v>
      </c>
    </row>
    <row r="14" spans="2:34" ht="18" hidden="1" customHeight="1" x14ac:dyDescent="0.35">
      <c r="B14" s="48"/>
      <c r="D14" s="141">
        <v>45703</v>
      </c>
      <c r="E14" s="33">
        <v>3</v>
      </c>
      <c r="F14" s="33">
        <v>1</v>
      </c>
      <c r="G14" s="50">
        <v>300</v>
      </c>
      <c r="H14" s="33">
        <v>10</v>
      </c>
      <c r="I14" s="33">
        <v>2</v>
      </c>
      <c r="J14" s="50">
        <v>55</v>
      </c>
      <c r="K14" s="33">
        <f t="shared" si="0"/>
        <v>13</v>
      </c>
      <c r="L14" s="33">
        <f t="shared" si="1"/>
        <v>3</v>
      </c>
      <c r="M14" s="50">
        <f t="shared" si="2"/>
        <v>355</v>
      </c>
      <c r="P14" s="100">
        <f t="shared" si="4"/>
        <v>45703</v>
      </c>
      <c r="Q14" s="39">
        <v>13</v>
      </c>
      <c r="R14" s="42">
        <v>1520</v>
      </c>
      <c r="S14" s="42">
        <v>1875</v>
      </c>
      <c r="T14" s="72">
        <f t="shared" si="5"/>
        <v>355</v>
      </c>
      <c r="V14" s="100">
        <f t="shared" si="6"/>
        <v>45703</v>
      </c>
      <c r="W14" s="39">
        <v>10</v>
      </c>
      <c r="X14" s="42">
        <v>1220</v>
      </c>
      <c r="Y14" s="42">
        <v>1275</v>
      </c>
      <c r="Z14" s="59">
        <v>55</v>
      </c>
      <c r="AA14" s="49">
        <v>3</v>
      </c>
      <c r="AB14" s="49">
        <v>300</v>
      </c>
      <c r="AC14" s="49">
        <v>600</v>
      </c>
      <c r="AD14" s="50">
        <v>300</v>
      </c>
      <c r="AE14" s="49">
        <f t="shared" si="7"/>
        <v>13</v>
      </c>
      <c r="AF14" s="49">
        <f t="shared" si="8"/>
        <v>1520</v>
      </c>
      <c r="AG14" s="49">
        <f t="shared" si="9"/>
        <v>1875</v>
      </c>
      <c r="AH14" s="50">
        <f t="shared" si="10"/>
        <v>355</v>
      </c>
    </row>
    <row r="15" spans="2:34" ht="18" hidden="1" customHeight="1" x14ac:dyDescent="0.35">
      <c r="B15" s="48"/>
      <c r="D15" s="141">
        <v>45710</v>
      </c>
      <c r="E15" s="33">
        <v>4</v>
      </c>
      <c r="F15" s="33">
        <v>4</v>
      </c>
      <c r="G15" s="50">
        <v>1505</v>
      </c>
      <c r="H15" s="33">
        <v>5</v>
      </c>
      <c r="I15" s="33">
        <v>3</v>
      </c>
      <c r="J15" s="50">
        <v>960</v>
      </c>
      <c r="K15" s="33">
        <f t="shared" si="0"/>
        <v>9</v>
      </c>
      <c r="L15" s="33">
        <f t="shared" si="1"/>
        <v>7</v>
      </c>
      <c r="M15" s="50">
        <f t="shared" si="2"/>
        <v>2465</v>
      </c>
      <c r="P15" s="100">
        <f t="shared" si="4"/>
        <v>45710</v>
      </c>
      <c r="Q15" s="39">
        <v>8</v>
      </c>
      <c r="R15" s="42">
        <v>1000</v>
      </c>
      <c r="S15" s="42">
        <v>3305</v>
      </c>
      <c r="T15" s="72">
        <f t="shared" si="5"/>
        <v>2305</v>
      </c>
      <c r="V15" s="100">
        <f t="shared" si="6"/>
        <v>45710</v>
      </c>
      <c r="W15" s="39">
        <v>5</v>
      </c>
      <c r="X15" s="42">
        <v>600</v>
      </c>
      <c r="Y15" s="42">
        <v>1560</v>
      </c>
      <c r="Z15" s="59">
        <v>960</v>
      </c>
      <c r="AA15" s="49">
        <v>4</v>
      </c>
      <c r="AB15" s="49">
        <v>600</v>
      </c>
      <c r="AC15" s="49">
        <v>2105</v>
      </c>
      <c r="AD15" s="50">
        <v>1505</v>
      </c>
      <c r="AE15" s="49">
        <f t="shared" si="7"/>
        <v>9</v>
      </c>
      <c r="AF15" s="49">
        <f t="shared" si="8"/>
        <v>1200</v>
      </c>
      <c r="AG15" s="49">
        <f t="shared" si="9"/>
        <v>3665</v>
      </c>
      <c r="AH15" s="50">
        <f t="shared" si="10"/>
        <v>2465</v>
      </c>
    </row>
    <row r="16" spans="2:34" ht="18" hidden="1" customHeight="1" x14ac:dyDescent="0.35">
      <c r="B16" s="48"/>
      <c r="D16" s="141">
        <v>45717</v>
      </c>
      <c r="E16" s="33">
        <v>13</v>
      </c>
      <c r="F16" s="33">
        <v>8</v>
      </c>
      <c r="G16" s="50">
        <v>1660</v>
      </c>
      <c r="H16" s="33">
        <v>11</v>
      </c>
      <c r="I16" s="33">
        <v>6</v>
      </c>
      <c r="J16" s="50">
        <v>1525</v>
      </c>
      <c r="K16" s="33">
        <f t="shared" si="0"/>
        <v>24</v>
      </c>
      <c r="L16" s="33">
        <f t="shared" si="1"/>
        <v>14</v>
      </c>
      <c r="M16" s="50">
        <f t="shared" si="2"/>
        <v>3185</v>
      </c>
      <c r="P16" s="100">
        <f t="shared" si="4"/>
        <v>45717</v>
      </c>
      <c r="Q16" s="39">
        <v>22</v>
      </c>
      <c r="R16" s="42">
        <v>2910</v>
      </c>
      <c r="S16" s="42">
        <v>5725</v>
      </c>
      <c r="T16" s="72">
        <f t="shared" si="5"/>
        <v>2815</v>
      </c>
      <c r="V16" s="100">
        <f t="shared" si="6"/>
        <v>45717</v>
      </c>
      <c r="W16" s="39">
        <v>11</v>
      </c>
      <c r="X16" s="42">
        <v>1560</v>
      </c>
      <c r="Y16" s="42">
        <v>3085</v>
      </c>
      <c r="Z16" s="59">
        <v>1525</v>
      </c>
      <c r="AA16" s="49">
        <v>13</v>
      </c>
      <c r="AB16" s="49">
        <v>1550</v>
      </c>
      <c r="AC16" s="49">
        <v>3210</v>
      </c>
      <c r="AD16" s="50">
        <v>1660</v>
      </c>
      <c r="AE16" s="49">
        <f t="shared" si="7"/>
        <v>24</v>
      </c>
      <c r="AF16" s="49">
        <f t="shared" si="8"/>
        <v>3110</v>
      </c>
      <c r="AG16" s="49">
        <f t="shared" si="9"/>
        <v>6295</v>
      </c>
      <c r="AH16" s="50">
        <f t="shared" si="10"/>
        <v>3185</v>
      </c>
    </row>
    <row r="17" spans="2:34" ht="18" hidden="1" customHeight="1" x14ac:dyDescent="0.35">
      <c r="B17" s="48"/>
      <c r="D17" s="141">
        <v>45724</v>
      </c>
      <c r="E17" s="33">
        <v>4</v>
      </c>
      <c r="F17" s="33">
        <v>1</v>
      </c>
      <c r="G17" s="50">
        <v>-50</v>
      </c>
      <c r="H17" s="33">
        <v>9</v>
      </c>
      <c r="I17" s="33">
        <v>2</v>
      </c>
      <c r="J17" s="50">
        <v>-270</v>
      </c>
      <c r="K17" s="33">
        <f t="shared" si="0"/>
        <v>13</v>
      </c>
      <c r="L17" s="33">
        <f t="shared" si="1"/>
        <v>3</v>
      </c>
      <c r="M17" s="50">
        <f t="shared" si="2"/>
        <v>-320</v>
      </c>
      <c r="P17" s="100">
        <f t="shared" si="4"/>
        <v>45724</v>
      </c>
      <c r="Q17" s="39">
        <v>13</v>
      </c>
      <c r="R17" s="42">
        <v>1350</v>
      </c>
      <c r="S17" s="42">
        <v>1030</v>
      </c>
      <c r="T17" s="72">
        <f t="shared" si="5"/>
        <v>-320</v>
      </c>
      <c r="V17" s="100">
        <f t="shared" si="6"/>
        <v>45724</v>
      </c>
      <c r="W17" s="39">
        <v>9</v>
      </c>
      <c r="X17" s="42">
        <v>900</v>
      </c>
      <c r="Y17" s="42">
        <v>630</v>
      </c>
      <c r="Z17" s="59">
        <v>-270</v>
      </c>
      <c r="AA17" s="49">
        <v>4</v>
      </c>
      <c r="AB17" s="49">
        <v>450</v>
      </c>
      <c r="AC17" s="49">
        <v>400</v>
      </c>
      <c r="AD17" s="50">
        <v>-50</v>
      </c>
      <c r="AE17" s="49">
        <f t="shared" si="7"/>
        <v>13</v>
      </c>
      <c r="AF17" s="49">
        <f t="shared" si="8"/>
        <v>1350</v>
      </c>
      <c r="AG17" s="49">
        <f t="shared" si="9"/>
        <v>1030</v>
      </c>
      <c r="AH17" s="50">
        <f t="shared" si="10"/>
        <v>-320</v>
      </c>
    </row>
    <row r="18" spans="2:34" ht="18" hidden="1" customHeight="1" x14ac:dyDescent="0.35">
      <c r="B18" s="48"/>
      <c r="D18" s="141">
        <v>45731</v>
      </c>
      <c r="E18" s="33">
        <v>12</v>
      </c>
      <c r="F18" s="33">
        <v>7</v>
      </c>
      <c r="G18" s="50">
        <v>2870</v>
      </c>
      <c r="H18" s="33">
        <v>9</v>
      </c>
      <c r="I18" s="33">
        <v>3</v>
      </c>
      <c r="J18" s="50">
        <v>535</v>
      </c>
      <c r="K18" s="33">
        <f t="shared" si="0"/>
        <v>21</v>
      </c>
      <c r="L18" s="33">
        <f t="shared" si="1"/>
        <v>10</v>
      </c>
      <c r="M18" s="50">
        <f t="shared" si="2"/>
        <v>3405</v>
      </c>
      <c r="P18" s="100">
        <f t="shared" si="4"/>
        <v>45731</v>
      </c>
      <c r="Q18" s="39">
        <v>20</v>
      </c>
      <c r="R18" s="42">
        <v>2660</v>
      </c>
      <c r="S18" s="42">
        <v>5765</v>
      </c>
      <c r="T18" s="72">
        <f t="shared" si="5"/>
        <v>3105</v>
      </c>
      <c r="V18" s="100">
        <f t="shared" si="6"/>
        <v>45731</v>
      </c>
      <c r="W18" s="39">
        <v>9</v>
      </c>
      <c r="X18" s="42">
        <v>1160</v>
      </c>
      <c r="Y18" s="42">
        <v>1695</v>
      </c>
      <c r="Z18" s="59">
        <v>535</v>
      </c>
      <c r="AA18" s="49">
        <v>12</v>
      </c>
      <c r="AB18" s="49">
        <v>1650</v>
      </c>
      <c r="AC18" s="49">
        <v>4520</v>
      </c>
      <c r="AD18" s="50">
        <v>2870</v>
      </c>
      <c r="AE18" s="49">
        <f t="shared" si="7"/>
        <v>21</v>
      </c>
      <c r="AF18" s="49">
        <f t="shared" si="8"/>
        <v>2810</v>
      </c>
      <c r="AG18" s="49">
        <f t="shared" si="9"/>
        <v>6215</v>
      </c>
      <c r="AH18" s="50">
        <f t="shared" si="10"/>
        <v>3405</v>
      </c>
    </row>
    <row r="19" spans="2:34" ht="18" hidden="1" customHeight="1" x14ac:dyDescent="0.35">
      <c r="B19" s="48"/>
      <c r="D19" s="141">
        <v>45738</v>
      </c>
      <c r="E19" s="33">
        <v>11</v>
      </c>
      <c r="F19" s="33">
        <v>4</v>
      </c>
      <c r="G19" s="50">
        <v>-112.49999999999997</v>
      </c>
      <c r="H19" s="33">
        <v>5</v>
      </c>
      <c r="I19" s="33">
        <v>1</v>
      </c>
      <c r="J19" s="50">
        <v>-70</v>
      </c>
      <c r="K19" s="33">
        <f t="shared" si="0"/>
        <v>16</v>
      </c>
      <c r="L19" s="33">
        <f t="shared" si="1"/>
        <v>5</v>
      </c>
      <c r="M19" s="50">
        <f t="shared" si="2"/>
        <v>-182.49999999999997</v>
      </c>
      <c r="P19" s="100">
        <f t="shared" si="4"/>
        <v>45738</v>
      </c>
      <c r="Q19" s="39">
        <v>15</v>
      </c>
      <c r="R19" s="42">
        <v>1790</v>
      </c>
      <c r="S19" s="42">
        <v>1707.5</v>
      </c>
      <c r="T19" s="72">
        <f t="shared" si="5"/>
        <v>-82.5</v>
      </c>
      <c r="V19" s="100">
        <f t="shared" si="6"/>
        <v>45738</v>
      </c>
      <c r="W19" s="39">
        <v>5</v>
      </c>
      <c r="X19" s="42">
        <v>690</v>
      </c>
      <c r="Y19" s="42">
        <v>620</v>
      </c>
      <c r="Z19" s="59">
        <v>-70</v>
      </c>
      <c r="AA19" s="49">
        <v>11</v>
      </c>
      <c r="AB19" s="49">
        <v>1200</v>
      </c>
      <c r="AC19" s="49">
        <v>1087.5</v>
      </c>
      <c r="AD19" s="50">
        <v>-112.5</v>
      </c>
      <c r="AE19" s="49">
        <f t="shared" si="7"/>
        <v>16</v>
      </c>
      <c r="AF19" s="49">
        <f t="shared" si="8"/>
        <v>1890</v>
      </c>
      <c r="AG19" s="49">
        <f t="shared" si="9"/>
        <v>1707.5</v>
      </c>
      <c r="AH19" s="50">
        <f t="shared" si="10"/>
        <v>-182.5</v>
      </c>
    </row>
    <row r="20" spans="2:34" ht="18" hidden="1" customHeight="1" x14ac:dyDescent="0.35">
      <c r="B20" s="48"/>
      <c r="D20" s="141">
        <v>45745</v>
      </c>
      <c r="E20" s="33">
        <v>2</v>
      </c>
      <c r="F20" s="33">
        <v>0</v>
      </c>
      <c r="G20" s="50">
        <v>-200</v>
      </c>
      <c r="H20" s="33">
        <v>7</v>
      </c>
      <c r="I20" s="33">
        <v>2</v>
      </c>
      <c r="J20" s="50">
        <v>-70</v>
      </c>
      <c r="K20" s="33">
        <f t="shared" si="0"/>
        <v>9</v>
      </c>
      <c r="L20" s="33">
        <f t="shared" si="1"/>
        <v>2</v>
      </c>
      <c r="M20" s="50">
        <f t="shared" si="2"/>
        <v>-270</v>
      </c>
      <c r="P20" s="100">
        <f t="shared" si="4"/>
        <v>45745</v>
      </c>
      <c r="Q20" s="39">
        <v>8</v>
      </c>
      <c r="R20" s="42">
        <v>1100</v>
      </c>
      <c r="S20" s="42">
        <v>880</v>
      </c>
      <c r="T20" s="72">
        <f t="shared" si="5"/>
        <v>-220</v>
      </c>
      <c r="V20" s="100">
        <f t="shared" si="6"/>
        <v>45745</v>
      </c>
      <c r="W20" s="39">
        <v>7</v>
      </c>
      <c r="X20" s="42">
        <v>950</v>
      </c>
      <c r="Y20" s="42">
        <v>880</v>
      </c>
      <c r="Z20" s="59">
        <v>-70</v>
      </c>
      <c r="AA20" s="49">
        <v>2</v>
      </c>
      <c r="AB20" s="49">
        <v>200</v>
      </c>
      <c r="AC20" s="49">
        <v>0</v>
      </c>
      <c r="AD20" s="50">
        <v>-200</v>
      </c>
      <c r="AE20" s="49">
        <f t="shared" si="7"/>
        <v>9</v>
      </c>
      <c r="AF20" s="49">
        <f t="shared" si="8"/>
        <v>1150</v>
      </c>
      <c r="AG20" s="49">
        <f t="shared" si="9"/>
        <v>880</v>
      </c>
      <c r="AH20" s="50">
        <f t="shared" si="10"/>
        <v>-270</v>
      </c>
    </row>
    <row r="21" spans="2:34" ht="18" hidden="1" customHeight="1" x14ac:dyDescent="0.35">
      <c r="B21" s="48"/>
      <c r="D21" s="141">
        <v>45752</v>
      </c>
      <c r="E21" s="33">
        <v>8</v>
      </c>
      <c r="F21" s="33">
        <v>3</v>
      </c>
      <c r="G21" s="50">
        <v>267.5</v>
      </c>
      <c r="H21" s="33">
        <v>3</v>
      </c>
      <c r="I21" s="33">
        <v>1</v>
      </c>
      <c r="J21" s="50">
        <v>-50</v>
      </c>
      <c r="K21" s="33">
        <f t="shared" si="0"/>
        <v>11</v>
      </c>
      <c r="L21" s="33">
        <f t="shared" si="1"/>
        <v>4</v>
      </c>
      <c r="M21" s="50">
        <f t="shared" si="2"/>
        <v>217.5</v>
      </c>
      <c r="P21" s="100">
        <f t="shared" si="4"/>
        <v>45752</v>
      </c>
      <c r="Q21" s="39">
        <v>10</v>
      </c>
      <c r="R21" s="42">
        <v>1400</v>
      </c>
      <c r="S21" s="42">
        <v>1817.5</v>
      </c>
      <c r="T21" s="72">
        <f t="shared" si="5"/>
        <v>417.5</v>
      </c>
      <c r="V21" s="100">
        <f t="shared" si="6"/>
        <v>45752</v>
      </c>
      <c r="W21" s="39">
        <v>3</v>
      </c>
      <c r="X21" s="42">
        <v>500</v>
      </c>
      <c r="Y21" s="42">
        <v>450</v>
      </c>
      <c r="Z21" s="59">
        <v>-50</v>
      </c>
      <c r="AA21" s="49">
        <v>8</v>
      </c>
      <c r="AB21" s="49">
        <v>1100</v>
      </c>
      <c r="AC21" s="49">
        <v>1367.5</v>
      </c>
      <c r="AD21" s="50">
        <v>267.5</v>
      </c>
      <c r="AE21" s="49">
        <f t="shared" si="7"/>
        <v>11</v>
      </c>
      <c r="AF21" s="49">
        <f t="shared" si="8"/>
        <v>1600</v>
      </c>
      <c r="AG21" s="49">
        <f t="shared" si="9"/>
        <v>1817.5</v>
      </c>
      <c r="AH21" s="50">
        <f t="shared" si="10"/>
        <v>217.5</v>
      </c>
    </row>
    <row r="22" spans="2:34" ht="18" hidden="1" customHeight="1" x14ac:dyDescent="0.35">
      <c r="B22" s="48"/>
      <c r="D22" s="141">
        <v>45759</v>
      </c>
      <c r="E22" s="33">
        <v>6</v>
      </c>
      <c r="F22" s="33">
        <v>3</v>
      </c>
      <c r="G22" s="50">
        <v>315</v>
      </c>
      <c r="H22" s="33">
        <v>5</v>
      </c>
      <c r="I22" s="33">
        <v>1</v>
      </c>
      <c r="J22" s="50">
        <v>-159.99999999999994</v>
      </c>
      <c r="K22" s="33">
        <f t="shared" si="0"/>
        <v>11</v>
      </c>
      <c r="L22" s="33">
        <f t="shared" si="1"/>
        <v>4</v>
      </c>
      <c r="M22" s="50">
        <f t="shared" si="2"/>
        <v>155.00000000000006</v>
      </c>
      <c r="P22" s="100">
        <f t="shared" si="4"/>
        <v>45759</v>
      </c>
      <c r="Q22" s="39">
        <v>10</v>
      </c>
      <c r="R22" s="42">
        <v>1400</v>
      </c>
      <c r="S22" s="42">
        <v>1215</v>
      </c>
      <c r="T22" s="72">
        <f t="shared" si="5"/>
        <v>-185</v>
      </c>
      <c r="V22" s="100">
        <f t="shared" si="6"/>
        <v>45759</v>
      </c>
      <c r="W22" s="39">
        <v>5</v>
      </c>
      <c r="X22" s="42">
        <v>600</v>
      </c>
      <c r="Y22" s="42">
        <v>440.00000000000006</v>
      </c>
      <c r="Z22" s="59">
        <v>-159.99999999999994</v>
      </c>
      <c r="AA22" s="49">
        <v>6</v>
      </c>
      <c r="AB22" s="49">
        <v>900</v>
      </c>
      <c r="AC22" s="49">
        <v>1215</v>
      </c>
      <c r="AD22" s="50">
        <v>315</v>
      </c>
      <c r="AE22" s="49">
        <f t="shared" si="7"/>
        <v>11</v>
      </c>
      <c r="AF22" s="49">
        <f t="shared" si="8"/>
        <v>1500</v>
      </c>
      <c r="AG22" s="49">
        <f t="shared" si="9"/>
        <v>1655</v>
      </c>
      <c r="AH22" s="50">
        <f t="shared" si="10"/>
        <v>155.00000000000006</v>
      </c>
    </row>
    <row r="23" spans="2:34" ht="18" hidden="1" customHeight="1" x14ac:dyDescent="0.35">
      <c r="B23" s="48"/>
      <c r="D23" s="141">
        <v>45766</v>
      </c>
      <c r="E23" s="33">
        <v>4</v>
      </c>
      <c r="F23" s="33">
        <v>1</v>
      </c>
      <c r="G23" s="50">
        <v>190</v>
      </c>
      <c r="H23" s="33">
        <v>11</v>
      </c>
      <c r="I23" s="33">
        <v>3</v>
      </c>
      <c r="J23" s="50">
        <v>374.00000000000011</v>
      </c>
      <c r="K23" s="33">
        <f t="shared" si="0"/>
        <v>15</v>
      </c>
      <c r="L23" s="33">
        <f t="shared" si="1"/>
        <v>4</v>
      </c>
      <c r="M23" s="50">
        <f t="shared" si="2"/>
        <v>564.00000000000011</v>
      </c>
      <c r="P23" s="100">
        <f t="shared" si="4"/>
        <v>45766</v>
      </c>
      <c r="Q23" s="39">
        <v>13</v>
      </c>
      <c r="R23" s="42">
        <v>1720</v>
      </c>
      <c r="S23" s="42">
        <v>1902</v>
      </c>
      <c r="T23" s="72">
        <f t="shared" si="5"/>
        <v>182</v>
      </c>
      <c r="V23" s="100">
        <f t="shared" si="6"/>
        <v>45766</v>
      </c>
      <c r="W23" s="39">
        <v>11</v>
      </c>
      <c r="X23" s="42">
        <v>1380</v>
      </c>
      <c r="Y23" s="42">
        <v>1754</v>
      </c>
      <c r="Z23" s="59">
        <v>374.00000000000011</v>
      </c>
      <c r="AA23" s="49">
        <v>4</v>
      </c>
      <c r="AB23" s="49">
        <v>550</v>
      </c>
      <c r="AC23" s="49">
        <v>740</v>
      </c>
      <c r="AD23" s="50">
        <v>190</v>
      </c>
      <c r="AE23" s="49">
        <f t="shared" si="7"/>
        <v>15</v>
      </c>
      <c r="AF23" s="49">
        <f t="shared" si="8"/>
        <v>1930</v>
      </c>
      <c r="AG23" s="49">
        <f t="shared" si="9"/>
        <v>2494</v>
      </c>
      <c r="AH23" s="50">
        <f t="shared" si="10"/>
        <v>564.00000000000011</v>
      </c>
    </row>
    <row r="24" spans="2:34" ht="18" hidden="1" customHeight="1" x14ac:dyDescent="0.35">
      <c r="B24" s="48"/>
      <c r="D24" s="141">
        <v>45773</v>
      </c>
      <c r="E24" s="33">
        <v>2</v>
      </c>
      <c r="F24" s="33">
        <v>1</v>
      </c>
      <c r="G24" s="50">
        <v>-60</v>
      </c>
      <c r="H24" s="33">
        <v>9</v>
      </c>
      <c r="I24" s="33">
        <v>3</v>
      </c>
      <c r="J24" s="50">
        <v>20</v>
      </c>
      <c r="K24" s="33">
        <f t="shared" si="0"/>
        <v>11</v>
      </c>
      <c r="L24" s="33">
        <f t="shared" si="1"/>
        <v>4</v>
      </c>
      <c r="M24" s="50">
        <f t="shared" si="2"/>
        <v>-40</v>
      </c>
      <c r="P24" s="100">
        <f t="shared" si="4"/>
        <v>45773</v>
      </c>
      <c r="Q24" s="39">
        <v>10</v>
      </c>
      <c r="R24" s="42">
        <v>1150</v>
      </c>
      <c r="S24" s="42">
        <v>1040</v>
      </c>
      <c r="T24" s="72">
        <f t="shared" si="5"/>
        <v>-110</v>
      </c>
      <c r="V24" s="100">
        <f t="shared" si="6"/>
        <v>45773</v>
      </c>
      <c r="W24" s="39">
        <v>9</v>
      </c>
      <c r="X24" s="42">
        <v>850</v>
      </c>
      <c r="Y24" s="42">
        <v>870</v>
      </c>
      <c r="Z24" s="59">
        <v>20</v>
      </c>
      <c r="AA24" s="49">
        <v>2</v>
      </c>
      <c r="AB24" s="49">
        <v>400</v>
      </c>
      <c r="AC24" s="49">
        <v>340</v>
      </c>
      <c r="AD24" s="50">
        <v>-60</v>
      </c>
      <c r="AE24" s="49">
        <f t="shared" si="7"/>
        <v>11</v>
      </c>
      <c r="AF24" s="49">
        <f t="shared" si="8"/>
        <v>1250</v>
      </c>
      <c r="AG24" s="49">
        <f t="shared" si="9"/>
        <v>1210</v>
      </c>
      <c r="AH24" s="50">
        <f t="shared" si="10"/>
        <v>-40</v>
      </c>
    </row>
    <row r="25" spans="2:34" ht="18" hidden="1" customHeight="1" x14ac:dyDescent="0.35">
      <c r="B25" s="48"/>
      <c r="D25" s="141">
        <v>45780</v>
      </c>
      <c r="E25" s="33">
        <v>4</v>
      </c>
      <c r="F25" s="33">
        <v>1</v>
      </c>
      <c r="G25" s="50">
        <v>-240</v>
      </c>
      <c r="H25" s="33">
        <v>8</v>
      </c>
      <c r="I25" s="33">
        <v>1</v>
      </c>
      <c r="J25" s="50">
        <v>-560</v>
      </c>
      <c r="K25" s="33">
        <f t="shared" si="0"/>
        <v>12</v>
      </c>
      <c r="L25" s="33">
        <f t="shared" si="1"/>
        <v>2</v>
      </c>
      <c r="M25" s="50">
        <f t="shared" si="2"/>
        <v>-800</v>
      </c>
      <c r="P25" s="100">
        <f t="shared" si="4"/>
        <v>45780</v>
      </c>
      <c r="Q25" s="39">
        <v>12</v>
      </c>
      <c r="R25" s="42">
        <v>1300</v>
      </c>
      <c r="S25" s="42">
        <v>500</v>
      </c>
      <c r="T25" s="72">
        <f t="shared" si="5"/>
        <v>-800</v>
      </c>
      <c r="V25" s="100">
        <f t="shared" si="6"/>
        <v>45780</v>
      </c>
      <c r="W25" s="39">
        <v>8</v>
      </c>
      <c r="X25" s="42">
        <v>900</v>
      </c>
      <c r="Y25" s="42">
        <v>340</v>
      </c>
      <c r="Z25" s="59">
        <v>-560</v>
      </c>
      <c r="AA25" s="49">
        <v>4</v>
      </c>
      <c r="AB25" s="49">
        <v>400</v>
      </c>
      <c r="AC25" s="49">
        <v>160</v>
      </c>
      <c r="AD25" s="50">
        <v>-240</v>
      </c>
      <c r="AE25" s="49">
        <f t="shared" si="7"/>
        <v>12</v>
      </c>
      <c r="AF25" s="49">
        <f t="shared" si="8"/>
        <v>1300</v>
      </c>
      <c r="AG25" s="49">
        <f t="shared" si="9"/>
        <v>500</v>
      </c>
      <c r="AH25" s="50">
        <f t="shared" si="10"/>
        <v>-800</v>
      </c>
    </row>
    <row r="26" spans="2:34" ht="18" hidden="1" customHeight="1" x14ac:dyDescent="0.35">
      <c r="B26" s="48"/>
      <c r="D26" s="141">
        <v>45787</v>
      </c>
      <c r="E26" s="33">
        <v>2</v>
      </c>
      <c r="F26" s="33">
        <v>2</v>
      </c>
      <c r="G26" s="50">
        <v>-40</v>
      </c>
      <c r="H26" s="33">
        <v>8</v>
      </c>
      <c r="I26" s="33">
        <v>6</v>
      </c>
      <c r="J26" s="50">
        <v>1812</v>
      </c>
      <c r="K26" s="33">
        <f t="shared" si="0"/>
        <v>10</v>
      </c>
      <c r="L26" s="33">
        <f t="shared" si="1"/>
        <v>8</v>
      </c>
      <c r="M26" s="50">
        <f t="shared" si="2"/>
        <v>1772</v>
      </c>
      <c r="P26" s="100">
        <f t="shared" si="4"/>
        <v>45787</v>
      </c>
      <c r="Q26" s="39">
        <v>9</v>
      </c>
      <c r="R26" s="42">
        <v>1120</v>
      </c>
      <c r="S26" s="42">
        <v>2782</v>
      </c>
      <c r="T26" s="72">
        <f t="shared" si="5"/>
        <v>1662</v>
      </c>
      <c r="V26" s="100">
        <f t="shared" si="6"/>
        <v>45787</v>
      </c>
      <c r="W26" s="39">
        <v>8</v>
      </c>
      <c r="X26" s="42">
        <v>970</v>
      </c>
      <c r="Y26" s="42">
        <v>2782</v>
      </c>
      <c r="Z26" s="59">
        <v>1812</v>
      </c>
      <c r="AA26" s="49">
        <v>2</v>
      </c>
      <c r="AB26" s="49">
        <v>250</v>
      </c>
      <c r="AC26" s="49">
        <v>210</v>
      </c>
      <c r="AD26" s="50">
        <v>-40</v>
      </c>
      <c r="AE26" s="49">
        <f t="shared" si="7"/>
        <v>10</v>
      </c>
      <c r="AF26" s="49">
        <f t="shared" si="8"/>
        <v>1220</v>
      </c>
      <c r="AG26" s="49">
        <f t="shared" si="9"/>
        <v>2992</v>
      </c>
      <c r="AH26" s="50">
        <f t="shared" si="10"/>
        <v>1772</v>
      </c>
    </row>
    <row r="27" spans="2:34" ht="18" hidden="1" customHeight="1" x14ac:dyDescent="0.35">
      <c r="B27" s="48"/>
      <c r="D27" s="141">
        <v>45794</v>
      </c>
      <c r="E27" s="33">
        <v>5</v>
      </c>
      <c r="F27" s="33">
        <v>2</v>
      </c>
      <c r="G27" s="50">
        <v>1335</v>
      </c>
      <c r="H27" s="33">
        <v>5</v>
      </c>
      <c r="I27" s="33">
        <v>2</v>
      </c>
      <c r="J27" s="50">
        <v>415</v>
      </c>
      <c r="K27" s="33">
        <f t="shared" si="0"/>
        <v>10</v>
      </c>
      <c r="L27" s="33">
        <f t="shared" si="1"/>
        <v>4</v>
      </c>
      <c r="M27" s="50">
        <f t="shared" si="2"/>
        <v>1750</v>
      </c>
      <c r="P27" s="100">
        <f t="shared" si="4"/>
        <v>45794</v>
      </c>
      <c r="Q27" s="39">
        <v>9</v>
      </c>
      <c r="R27" s="42">
        <v>1150</v>
      </c>
      <c r="S27" s="42">
        <v>2465</v>
      </c>
      <c r="T27" s="72">
        <f t="shared" si="5"/>
        <v>1315</v>
      </c>
      <c r="V27" s="100">
        <f t="shared" si="6"/>
        <v>45794</v>
      </c>
      <c r="W27" s="39">
        <v>5</v>
      </c>
      <c r="X27" s="42">
        <v>750</v>
      </c>
      <c r="Y27" s="42">
        <v>1165</v>
      </c>
      <c r="Z27" s="59">
        <v>415</v>
      </c>
      <c r="AA27" s="49">
        <v>5</v>
      </c>
      <c r="AB27" s="49">
        <v>550</v>
      </c>
      <c r="AC27" s="49">
        <v>1885</v>
      </c>
      <c r="AD27" s="50">
        <v>1335</v>
      </c>
      <c r="AE27" s="49">
        <f t="shared" si="7"/>
        <v>10</v>
      </c>
      <c r="AF27" s="49">
        <f t="shared" si="8"/>
        <v>1300</v>
      </c>
      <c r="AG27" s="49">
        <f t="shared" si="9"/>
        <v>3050</v>
      </c>
      <c r="AH27" s="50">
        <f t="shared" si="10"/>
        <v>1750</v>
      </c>
    </row>
    <row r="28" spans="2:34" ht="18" hidden="1" customHeight="1" x14ac:dyDescent="0.35">
      <c r="B28" s="48"/>
      <c r="D28" s="141">
        <v>45801</v>
      </c>
      <c r="E28" s="33">
        <v>6</v>
      </c>
      <c r="F28" s="62">
        <v>0</v>
      </c>
      <c r="G28" s="50">
        <v>-600</v>
      </c>
      <c r="H28" s="33">
        <v>5</v>
      </c>
      <c r="I28" s="62">
        <v>0</v>
      </c>
      <c r="J28" s="50">
        <v>-550</v>
      </c>
      <c r="K28" s="33">
        <f t="shared" si="0"/>
        <v>11</v>
      </c>
      <c r="L28" s="33">
        <f t="shared" si="1"/>
        <v>0</v>
      </c>
      <c r="M28" s="50">
        <f t="shared" si="2"/>
        <v>-1150</v>
      </c>
      <c r="P28" s="100">
        <f t="shared" si="4"/>
        <v>45801</v>
      </c>
      <c r="Q28" s="39">
        <v>10</v>
      </c>
      <c r="R28" s="42">
        <v>1050</v>
      </c>
      <c r="S28" s="42">
        <v>0</v>
      </c>
      <c r="T28" s="72">
        <f t="shared" si="5"/>
        <v>-1050</v>
      </c>
      <c r="V28" s="100">
        <f t="shared" si="6"/>
        <v>45801</v>
      </c>
      <c r="W28" s="39">
        <v>5</v>
      </c>
      <c r="X28" s="42">
        <v>550</v>
      </c>
      <c r="Y28" s="42">
        <v>0</v>
      </c>
      <c r="Z28" s="59">
        <v>-550</v>
      </c>
      <c r="AA28" s="49">
        <v>6</v>
      </c>
      <c r="AB28" s="49">
        <v>600</v>
      </c>
      <c r="AC28" s="49">
        <v>0</v>
      </c>
      <c r="AD28" s="50">
        <v>-600</v>
      </c>
      <c r="AE28" s="49">
        <f t="shared" si="7"/>
        <v>11</v>
      </c>
      <c r="AF28" s="49">
        <f t="shared" si="8"/>
        <v>1150</v>
      </c>
      <c r="AG28" s="49">
        <f t="shared" si="9"/>
        <v>0</v>
      </c>
      <c r="AH28" s="50">
        <f t="shared" si="10"/>
        <v>-1150</v>
      </c>
    </row>
    <row r="29" spans="2:34" ht="18" hidden="1" customHeight="1" x14ac:dyDescent="0.35">
      <c r="B29" s="48"/>
      <c r="D29" s="141">
        <v>45808</v>
      </c>
      <c r="E29" s="33">
        <v>3</v>
      </c>
      <c r="F29" s="33">
        <v>1</v>
      </c>
      <c r="G29" s="50">
        <v>160</v>
      </c>
      <c r="H29" s="33">
        <v>7</v>
      </c>
      <c r="I29" s="33">
        <v>4</v>
      </c>
      <c r="J29" s="50">
        <v>396.5</v>
      </c>
      <c r="K29" s="33">
        <f t="shared" si="0"/>
        <v>10</v>
      </c>
      <c r="L29" s="33">
        <f t="shared" si="1"/>
        <v>5</v>
      </c>
      <c r="M29" s="50">
        <f t="shared" si="2"/>
        <v>556.5</v>
      </c>
      <c r="P29" s="100">
        <f t="shared" si="4"/>
        <v>45808</v>
      </c>
      <c r="Q29" s="39">
        <v>10</v>
      </c>
      <c r="R29" s="42">
        <v>1190</v>
      </c>
      <c r="S29" s="42">
        <v>1746.5</v>
      </c>
      <c r="T29" s="72">
        <f t="shared" si="5"/>
        <v>556.5</v>
      </c>
      <c r="V29" s="100">
        <f t="shared" si="6"/>
        <v>45808</v>
      </c>
      <c r="W29" s="39">
        <v>7</v>
      </c>
      <c r="X29" s="42">
        <v>890</v>
      </c>
      <c r="Y29" s="42">
        <v>1286.5</v>
      </c>
      <c r="Z29" s="59">
        <v>396.5</v>
      </c>
      <c r="AA29" s="49">
        <v>3</v>
      </c>
      <c r="AB29" s="49">
        <v>300</v>
      </c>
      <c r="AC29" s="49">
        <v>460</v>
      </c>
      <c r="AD29" s="50">
        <v>160</v>
      </c>
      <c r="AE29" s="49">
        <f t="shared" si="7"/>
        <v>10</v>
      </c>
      <c r="AF29" s="49">
        <f t="shared" si="8"/>
        <v>1190</v>
      </c>
      <c r="AG29" s="49">
        <f t="shared" si="9"/>
        <v>1746.5</v>
      </c>
      <c r="AH29" s="50">
        <f t="shared" si="10"/>
        <v>556.5</v>
      </c>
    </row>
    <row r="30" spans="2:34" ht="18" hidden="1" customHeight="1" x14ac:dyDescent="0.35">
      <c r="B30" s="48"/>
      <c r="D30" s="141">
        <v>45815</v>
      </c>
      <c r="E30" s="33">
        <v>3</v>
      </c>
      <c r="F30" s="33">
        <v>1</v>
      </c>
      <c r="G30" s="50">
        <v>-50</v>
      </c>
      <c r="H30" s="33">
        <v>7</v>
      </c>
      <c r="I30" s="33">
        <v>2</v>
      </c>
      <c r="J30" s="50">
        <v>25</v>
      </c>
      <c r="K30" s="33">
        <f t="shared" si="0"/>
        <v>10</v>
      </c>
      <c r="L30" s="33">
        <f t="shared" si="1"/>
        <v>3</v>
      </c>
      <c r="M30" s="50">
        <f t="shared" si="2"/>
        <v>-25</v>
      </c>
      <c r="P30" s="100">
        <f t="shared" si="4"/>
        <v>45815</v>
      </c>
      <c r="Q30" s="39">
        <v>10</v>
      </c>
      <c r="R30" s="42">
        <v>1350</v>
      </c>
      <c r="S30" s="42">
        <v>1325</v>
      </c>
      <c r="T30" s="72">
        <f t="shared" si="5"/>
        <v>-25</v>
      </c>
      <c r="V30" s="100">
        <f t="shared" si="6"/>
        <v>45815</v>
      </c>
      <c r="W30" s="39">
        <v>7</v>
      </c>
      <c r="X30" s="42">
        <v>1050</v>
      </c>
      <c r="Y30" s="42">
        <v>1075</v>
      </c>
      <c r="Z30" s="59">
        <v>25</v>
      </c>
      <c r="AA30" s="49">
        <v>3</v>
      </c>
      <c r="AB30" s="49">
        <v>300</v>
      </c>
      <c r="AC30" s="49">
        <v>250</v>
      </c>
      <c r="AD30" s="50">
        <v>-50</v>
      </c>
      <c r="AE30" s="49">
        <f t="shared" si="7"/>
        <v>10</v>
      </c>
      <c r="AF30" s="49">
        <f t="shared" si="8"/>
        <v>1350</v>
      </c>
      <c r="AG30" s="49">
        <f t="shared" si="9"/>
        <v>1325</v>
      </c>
      <c r="AH30" s="50">
        <f t="shared" si="10"/>
        <v>-25</v>
      </c>
    </row>
    <row r="31" spans="2:34" ht="18" hidden="1" customHeight="1" x14ac:dyDescent="0.35">
      <c r="B31" s="48"/>
      <c r="D31" s="141">
        <v>45822</v>
      </c>
      <c r="E31" s="33">
        <v>8</v>
      </c>
      <c r="F31" s="33">
        <v>1</v>
      </c>
      <c r="G31" s="50">
        <v>-490</v>
      </c>
      <c r="H31" s="33">
        <v>4</v>
      </c>
      <c r="I31" s="33">
        <v>1</v>
      </c>
      <c r="J31" s="50">
        <v>10</v>
      </c>
      <c r="K31" s="33">
        <f t="shared" si="0"/>
        <v>12</v>
      </c>
      <c r="L31" s="33">
        <f t="shared" si="1"/>
        <v>2</v>
      </c>
      <c r="M31" s="50">
        <f t="shared" si="2"/>
        <v>-480</v>
      </c>
      <c r="P31" s="100">
        <f t="shared" si="4"/>
        <v>45822</v>
      </c>
      <c r="Q31" s="39">
        <v>11</v>
      </c>
      <c r="R31" s="42">
        <v>1200</v>
      </c>
      <c r="S31" s="42">
        <v>820</v>
      </c>
      <c r="T31" s="72">
        <f t="shared" si="5"/>
        <v>-380</v>
      </c>
      <c r="V31" s="100">
        <f t="shared" si="6"/>
        <v>45822</v>
      </c>
      <c r="W31" s="39">
        <v>4</v>
      </c>
      <c r="X31" s="42">
        <v>500</v>
      </c>
      <c r="Y31" s="42">
        <v>510</v>
      </c>
      <c r="Z31" s="59">
        <v>10</v>
      </c>
      <c r="AA31" s="49">
        <v>8</v>
      </c>
      <c r="AB31" s="49">
        <v>800</v>
      </c>
      <c r="AC31" s="49">
        <v>310</v>
      </c>
      <c r="AD31" s="50">
        <v>-490</v>
      </c>
      <c r="AE31" s="49">
        <f t="shared" si="7"/>
        <v>12</v>
      </c>
      <c r="AF31" s="49">
        <f t="shared" si="8"/>
        <v>1300</v>
      </c>
      <c r="AG31" s="49">
        <f t="shared" si="9"/>
        <v>820</v>
      </c>
      <c r="AH31" s="50">
        <f t="shared" si="10"/>
        <v>-480</v>
      </c>
    </row>
    <row r="32" spans="2:34" ht="18" hidden="1" customHeight="1" x14ac:dyDescent="0.35">
      <c r="B32" s="48"/>
      <c r="D32" s="141">
        <v>45829</v>
      </c>
      <c r="E32" s="33">
        <v>10</v>
      </c>
      <c r="F32" s="33">
        <v>4</v>
      </c>
      <c r="G32" s="50">
        <v>100</v>
      </c>
      <c r="H32" s="33">
        <v>8</v>
      </c>
      <c r="I32" s="33">
        <v>5</v>
      </c>
      <c r="J32" s="50">
        <v>1534</v>
      </c>
      <c r="K32" s="33">
        <f t="shared" si="0"/>
        <v>18</v>
      </c>
      <c r="L32" s="33">
        <f t="shared" si="1"/>
        <v>9</v>
      </c>
      <c r="M32" s="50">
        <f t="shared" si="2"/>
        <v>1634</v>
      </c>
      <c r="P32" s="100">
        <f t="shared" si="4"/>
        <v>45829</v>
      </c>
      <c r="Q32" s="39">
        <v>14</v>
      </c>
      <c r="R32" s="42">
        <v>1730</v>
      </c>
      <c r="S32" s="42">
        <v>2914</v>
      </c>
      <c r="T32" s="72">
        <f t="shared" si="5"/>
        <v>1184</v>
      </c>
      <c r="V32" s="100">
        <f t="shared" si="6"/>
        <v>45829</v>
      </c>
      <c r="W32" s="39">
        <v>8</v>
      </c>
      <c r="X32" s="42">
        <v>1080</v>
      </c>
      <c r="Y32" s="42">
        <v>2614</v>
      </c>
      <c r="Z32" s="59">
        <v>1534</v>
      </c>
      <c r="AA32" s="49">
        <v>10</v>
      </c>
      <c r="AB32" s="49">
        <v>1100</v>
      </c>
      <c r="AC32" s="49">
        <v>1200</v>
      </c>
      <c r="AD32" s="50">
        <v>100</v>
      </c>
      <c r="AE32" s="49">
        <f t="shared" si="7"/>
        <v>18</v>
      </c>
      <c r="AF32" s="49">
        <f t="shared" si="8"/>
        <v>2180</v>
      </c>
      <c r="AG32" s="49">
        <f t="shared" si="9"/>
        <v>3814</v>
      </c>
      <c r="AH32" s="50">
        <f t="shared" si="10"/>
        <v>1634</v>
      </c>
    </row>
    <row r="33" spans="2:34" ht="18" hidden="1" customHeight="1" x14ac:dyDescent="0.35">
      <c r="B33" s="48"/>
      <c r="D33" s="141">
        <v>45836</v>
      </c>
      <c r="E33" s="33">
        <v>9</v>
      </c>
      <c r="F33" s="33">
        <v>2</v>
      </c>
      <c r="G33" s="50">
        <v>9.9999999999999432</v>
      </c>
      <c r="H33" s="33">
        <v>3</v>
      </c>
      <c r="I33" s="62">
        <v>0</v>
      </c>
      <c r="J33" s="50">
        <v>-400</v>
      </c>
      <c r="K33" s="33">
        <f t="shared" si="0"/>
        <v>12</v>
      </c>
      <c r="L33" s="33">
        <f t="shared" si="1"/>
        <v>2</v>
      </c>
      <c r="M33" s="50">
        <f t="shared" si="2"/>
        <v>-390.00000000000006</v>
      </c>
      <c r="P33" s="100">
        <f t="shared" si="4"/>
        <v>45836</v>
      </c>
      <c r="Q33" s="39">
        <v>11</v>
      </c>
      <c r="R33" s="42">
        <v>1250</v>
      </c>
      <c r="S33" s="42">
        <v>1010</v>
      </c>
      <c r="T33" s="72">
        <f t="shared" si="5"/>
        <v>-240</v>
      </c>
      <c r="V33" s="100">
        <f t="shared" si="6"/>
        <v>45836</v>
      </c>
      <c r="W33" s="39">
        <v>3</v>
      </c>
      <c r="X33" s="42">
        <v>400</v>
      </c>
      <c r="Y33" s="42">
        <v>0</v>
      </c>
      <c r="Z33" s="59">
        <v>-400</v>
      </c>
      <c r="AA33" s="49">
        <v>9</v>
      </c>
      <c r="AB33" s="49">
        <v>1000</v>
      </c>
      <c r="AC33" s="49">
        <v>1010</v>
      </c>
      <c r="AD33" s="50">
        <v>10</v>
      </c>
      <c r="AE33" s="49">
        <f t="shared" si="7"/>
        <v>12</v>
      </c>
      <c r="AF33" s="49">
        <f t="shared" si="8"/>
        <v>1400</v>
      </c>
      <c r="AG33" s="49">
        <f t="shared" si="9"/>
        <v>1010</v>
      </c>
      <c r="AH33" s="50">
        <f t="shared" si="10"/>
        <v>-390</v>
      </c>
    </row>
    <row r="34" spans="2:34" ht="18" hidden="1" customHeight="1" x14ac:dyDescent="0.35">
      <c r="B34" s="48"/>
      <c r="D34" s="141">
        <v>45843</v>
      </c>
      <c r="E34" s="33">
        <v>2</v>
      </c>
      <c r="F34" s="33">
        <v>1</v>
      </c>
      <c r="G34" s="50">
        <v>120</v>
      </c>
      <c r="H34" s="33">
        <v>8</v>
      </c>
      <c r="I34" s="33">
        <v>4</v>
      </c>
      <c r="J34" s="50">
        <v>934</v>
      </c>
      <c r="K34" s="33">
        <f t="shared" si="0"/>
        <v>10</v>
      </c>
      <c r="L34" s="33">
        <f t="shared" si="1"/>
        <v>5</v>
      </c>
      <c r="M34" s="50">
        <f t="shared" si="2"/>
        <v>1054</v>
      </c>
      <c r="P34" s="100">
        <f t="shared" si="4"/>
        <v>45843</v>
      </c>
      <c r="Q34" s="39">
        <v>8</v>
      </c>
      <c r="R34" s="42">
        <v>1120</v>
      </c>
      <c r="S34" s="42">
        <v>2164</v>
      </c>
      <c r="T34" s="72">
        <f t="shared" si="5"/>
        <v>1044</v>
      </c>
      <c r="V34" s="100">
        <f t="shared" si="6"/>
        <v>45843</v>
      </c>
      <c r="W34" s="39">
        <v>8</v>
      </c>
      <c r="X34" s="42">
        <v>1020</v>
      </c>
      <c r="Y34" s="42">
        <v>1954</v>
      </c>
      <c r="Z34" s="59">
        <v>934</v>
      </c>
      <c r="AA34" s="49">
        <v>2</v>
      </c>
      <c r="AB34" s="49">
        <v>300</v>
      </c>
      <c r="AC34" s="49">
        <v>420</v>
      </c>
      <c r="AD34" s="50">
        <v>120</v>
      </c>
      <c r="AE34" s="49">
        <f t="shared" si="7"/>
        <v>10</v>
      </c>
      <c r="AF34" s="49">
        <f t="shared" si="8"/>
        <v>1320</v>
      </c>
      <c r="AG34" s="49">
        <f t="shared" si="9"/>
        <v>2374</v>
      </c>
      <c r="AH34" s="50">
        <f t="shared" si="10"/>
        <v>1054</v>
      </c>
    </row>
    <row r="35" spans="2:34" ht="18" hidden="1" customHeight="1" x14ac:dyDescent="0.35">
      <c r="B35" s="48"/>
      <c r="D35" s="141">
        <v>45850</v>
      </c>
      <c r="E35" s="33">
        <v>8</v>
      </c>
      <c r="F35" s="33">
        <v>1</v>
      </c>
      <c r="G35" s="50">
        <v>0</v>
      </c>
      <c r="H35" s="33">
        <v>8</v>
      </c>
      <c r="I35" s="33">
        <v>1</v>
      </c>
      <c r="J35" s="50">
        <v>-600</v>
      </c>
      <c r="K35" s="33">
        <f t="shared" si="0"/>
        <v>16</v>
      </c>
      <c r="L35" s="33">
        <f t="shared" si="1"/>
        <v>2</v>
      </c>
      <c r="M35" s="50">
        <f t="shared" si="2"/>
        <v>-600</v>
      </c>
      <c r="P35" s="100">
        <f t="shared" si="4"/>
        <v>45850</v>
      </c>
      <c r="Q35" s="39">
        <v>16</v>
      </c>
      <c r="R35" s="42">
        <v>2100</v>
      </c>
      <c r="S35" s="42">
        <v>1500</v>
      </c>
      <c r="T35" s="72">
        <f t="shared" si="5"/>
        <v>-600</v>
      </c>
      <c r="V35" s="100">
        <f t="shared" si="6"/>
        <v>45850</v>
      </c>
      <c r="W35" s="39">
        <v>8</v>
      </c>
      <c r="X35" s="42">
        <v>1200</v>
      </c>
      <c r="Y35" s="42">
        <v>600</v>
      </c>
      <c r="Z35" s="59">
        <v>-600</v>
      </c>
      <c r="AA35" s="49">
        <v>8</v>
      </c>
      <c r="AB35" s="49">
        <v>900</v>
      </c>
      <c r="AC35" s="49">
        <v>900</v>
      </c>
      <c r="AD35" s="50">
        <v>0</v>
      </c>
      <c r="AE35" s="49">
        <f t="shared" si="7"/>
        <v>16</v>
      </c>
      <c r="AF35" s="49">
        <f t="shared" si="8"/>
        <v>2100</v>
      </c>
      <c r="AG35" s="49">
        <f t="shared" si="9"/>
        <v>1500</v>
      </c>
      <c r="AH35" s="50">
        <f t="shared" si="10"/>
        <v>-600</v>
      </c>
    </row>
    <row r="36" spans="2:34" ht="18" hidden="1" customHeight="1" x14ac:dyDescent="0.35">
      <c r="B36" s="48"/>
      <c r="D36" s="141">
        <v>45857</v>
      </c>
      <c r="E36" s="33">
        <v>3</v>
      </c>
      <c r="F36" s="33">
        <v>1</v>
      </c>
      <c r="G36" s="50">
        <v>-160</v>
      </c>
      <c r="H36" s="33">
        <v>7</v>
      </c>
      <c r="I36" s="33">
        <v>1</v>
      </c>
      <c r="J36" s="50">
        <v>-336</v>
      </c>
      <c r="K36" s="33">
        <f t="shared" si="0"/>
        <v>10</v>
      </c>
      <c r="L36" s="33">
        <f t="shared" si="1"/>
        <v>2</v>
      </c>
      <c r="M36" s="50">
        <f t="shared" si="2"/>
        <v>-496</v>
      </c>
      <c r="P36" s="100">
        <f t="shared" si="4"/>
        <v>45857</v>
      </c>
      <c r="Q36" s="39">
        <v>9</v>
      </c>
      <c r="R36" s="42">
        <v>1140</v>
      </c>
      <c r="S36" s="42">
        <v>744</v>
      </c>
      <c r="T36" s="72">
        <f t="shared" si="5"/>
        <v>-396</v>
      </c>
      <c r="V36" s="100">
        <f t="shared" si="6"/>
        <v>45857</v>
      </c>
      <c r="W36" s="39">
        <v>7</v>
      </c>
      <c r="X36" s="42">
        <v>840</v>
      </c>
      <c r="Y36" s="42">
        <v>504</v>
      </c>
      <c r="Z36" s="59">
        <v>-336</v>
      </c>
      <c r="AA36" s="49">
        <v>3</v>
      </c>
      <c r="AB36" s="49">
        <v>400</v>
      </c>
      <c r="AC36" s="49">
        <v>240</v>
      </c>
      <c r="AD36" s="50">
        <v>-160</v>
      </c>
      <c r="AE36" s="49">
        <f t="shared" si="7"/>
        <v>10</v>
      </c>
      <c r="AF36" s="49">
        <f t="shared" si="8"/>
        <v>1240</v>
      </c>
      <c r="AG36" s="49">
        <f t="shared" si="9"/>
        <v>744</v>
      </c>
      <c r="AH36" s="50">
        <f t="shared" si="10"/>
        <v>-496</v>
      </c>
    </row>
    <row r="37" spans="2:34" ht="18" hidden="1" customHeight="1" x14ac:dyDescent="0.35">
      <c r="B37" s="48"/>
      <c r="D37" s="141">
        <v>45864</v>
      </c>
      <c r="E37" s="33">
        <v>5</v>
      </c>
      <c r="F37" s="33">
        <v>1</v>
      </c>
      <c r="G37" s="50">
        <v>-400</v>
      </c>
      <c r="H37" s="33">
        <v>4</v>
      </c>
      <c r="I37" s="62">
        <v>0</v>
      </c>
      <c r="J37" s="50">
        <v>-450</v>
      </c>
      <c r="K37" s="33">
        <f t="shared" si="0"/>
        <v>9</v>
      </c>
      <c r="L37" s="33">
        <f t="shared" si="1"/>
        <v>1</v>
      </c>
      <c r="M37" s="50">
        <f t="shared" si="2"/>
        <v>-850</v>
      </c>
      <c r="P37" s="100">
        <f t="shared" si="4"/>
        <v>45864</v>
      </c>
      <c r="Q37" s="39">
        <v>9</v>
      </c>
      <c r="R37" s="42">
        <v>950</v>
      </c>
      <c r="S37" s="42">
        <v>0</v>
      </c>
      <c r="T37" s="72">
        <f t="shared" si="5"/>
        <v>-950</v>
      </c>
      <c r="V37" s="100">
        <f t="shared" si="6"/>
        <v>45864</v>
      </c>
      <c r="W37" s="39">
        <v>4</v>
      </c>
      <c r="X37" s="42">
        <v>450</v>
      </c>
      <c r="Y37" s="42">
        <v>0</v>
      </c>
      <c r="Z37" s="59">
        <v>-450</v>
      </c>
      <c r="AA37" s="49">
        <v>5</v>
      </c>
      <c r="AB37" s="49">
        <v>500</v>
      </c>
      <c r="AC37" s="49">
        <v>100</v>
      </c>
      <c r="AD37" s="50">
        <v>-400</v>
      </c>
      <c r="AE37" s="49">
        <f t="shared" si="7"/>
        <v>9</v>
      </c>
      <c r="AF37" s="49">
        <f t="shared" si="8"/>
        <v>950</v>
      </c>
      <c r="AG37" s="49">
        <f t="shared" si="9"/>
        <v>100</v>
      </c>
      <c r="AH37" s="50">
        <f t="shared" si="10"/>
        <v>-850</v>
      </c>
    </row>
    <row r="38" spans="2:34" ht="18" hidden="1" customHeight="1" x14ac:dyDescent="0.35">
      <c r="B38" s="48"/>
      <c r="D38" s="141">
        <v>45871</v>
      </c>
      <c r="E38" s="33">
        <v>10</v>
      </c>
      <c r="F38" s="33">
        <v>2</v>
      </c>
      <c r="G38" s="50">
        <v>-410</v>
      </c>
      <c r="H38" s="33">
        <v>12</v>
      </c>
      <c r="I38" s="33">
        <v>5</v>
      </c>
      <c r="J38" s="50">
        <v>1440</v>
      </c>
      <c r="K38" s="33">
        <f t="shared" si="0"/>
        <v>22</v>
      </c>
      <c r="L38" s="33">
        <f t="shared" si="1"/>
        <v>7</v>
      </c>
      <c r="M38" s="50">
        <f t="shared" si="2"/>
        <v>1030</v>
      </c>
      <c r="P38" s="100">
        <f t="shared" si="4"/>
        <v>45871</v>
      </c>
      <c r="Q38" s="39">
        <v>19</v>
      </c>
      <c r="R38" s="42">
        <v>2300</v>
      </c>
      <c r="S38" s="42">
        <v>3210</v>
      </c>
      <c r="T38" s="72">
        <f t="shared" si="5"/>
        <v>910</v>
      </c>
      <c r="V38" s="100">
        <f t="shared" si="6"/>
        <v>45871</v>
      </c>
      <c r="W38" s="39">
        <v>12</v>
      </c>
      <c r="X38" s="42">
        <v>1600</v>
      </c>
      <c r="Y38" s="42">
        <v>3040</v>
      </c>
      <c r="Z38" s="59">
        <v>1440</v>
      </c>
      <c r="AA38" s="49">
        <v>10</v>
      </c>
      <c r="AB38" s="49">
        <v>1100</v>
      </c>
      <c r="AC38" s="49">
        <v>690</v>
      </c>
      <c r="AD38" s="50">
        <v>-410</v>
      </c>
      <c r="AE38" s="49">
        <f t="shared" si="7"/>
        <v>22</v>
      </c>
      <c r="AF38" s="49">
        <f t="shared" si="8"/>
        <v>2700</v>
      </c>
      <c r="AG38" s="49">
        <f t="shared" si="9"/>
        <v>3730</v>
      </c>
      <c r="AH38" s="50">
        <f t="shared" si="10"/>
        <v>1030</v>
      </c>
    </row>
    <row r="39" spans="2:34" ht="18" hidden="1" customHeight="1" x14ac:dyDescent="0.35">
      <c r="B39" s="48"/>
      <c r="D39" s="141">
        <v>45878</v>
      </c>
      <c r="E39" s="33">
        <v>6</v>
      </c>
      <c r="F39" s="33">
        <v>1</v>
      </c>
      <c r="G39" s="50">
        <v>-120</v>
      </c>
      <c r="H39" s="33">
        <v>2</v>
      </c>
      <c r="I39" s="33">
        <v>1</v>
      </c>
      <c r="J39" s="50">
        <v>420</v>
      </c>
      <c r="K39" s="33">
        <f t="shared" si="0"/>
        <v>8</v>
      </c>
      <c r="L39" s="33">
        <f t="shared" si="1"/>
        <v>2</v>
      </c>
      <c r="M39" s="50">
        <f t="shared" si="2"/>
        <v>300</v>
      </c>
      <c r="P39" s="100">
        <f t="shared" si="4"/>
        <v>45878</v>
      </c>
      <c r="Q39" s="39">
        <v>8</v>
      </c>
      <c r="R39" s="42">
        <v>900</v>
      </c>
      <c r="S39" s="42">
        <v>1200</v>
      </c>
      <c r="T39" s="72">
        <f t="shared" si="5"/>
        <v>300</v>
      </c>
      <c r="V39" s="100">
        <f t="shared" si="6"/>
        <v>45878</v>
      </c>
      <c r="W39" s="39">
        <v>2</v>
      </c>
      <c r="X39" s="42">
        <v>300</v>
      </c>
      <c r="Y39" s="42">
        <v>720</v>
      </c>
      <c r="Z39" s="59">
        <v>420</v>
      </c>
      <c r="AA39" s="49">
        <v>6</v>
      </c>
      <c r="AB39" s="49">
        <v>600</v>
      </c>
      <c r="AC39" s="49">
        <v>480</v>
      </c>
      <c r="AD39" s="50">
        <v>-120</v>
      </c>
      <c r="AE39" s="49">
        <f t="shared" si="7"/>
        <v>8</v>
      </c>
      <c r="AF39" s="49">
        <f t="shared" si="8"/>
        <v>900</v>
      </c>
      <c r="AG39" s="49">
        <f t="shared" si="9"/>
        <v>1200</v>
      </c>
      <c r="AH39" s="50">
        <f t="shared" si="10"/>
        <v>300</v>
      </c>
    </row>
    <row r="40" spans="2:34" ht="18" hidden="1" customHeight="1" x14ac:dyDescent="0.35">
      <c r="B40" s="48"/>
      <c r="D40" s="141">
        <v>45885</v>
      </c>
      <c r="E40" s="33">
        <v>5</v>
      </c>
      <c r="F40" s="33">
        <v>1</v>
      </c>
      <c r="G40" s="50">
        <v>-150</v>
      </c>
      <c r="H40" s="33">
        <v>6</v>
      </c>
      <c r="I40" s="33">
        <v>1</v>
      </c>
      <c r="J40" s="50">
        <v>-306</v>
      </c>
      <c r="K40" s="33">
        <f t="shared" ref="K40:K55" si="11">E40+H40</f>
        <v>11</v>
      </c>
      <c r="L40" s="33">
        <f t="shared" ref="L40:L55" si="12">F40+I40</f>
        <v>2</v>
      </c>
      <c r="M40" s="50">
        <f t="shared" ref="M40:M55" si="13">G40+J40</f>
        <v>-456</v>
      </c>
      <c r="P40" s="100">
        <f t="shared" si="4"/>
        <v>45885</v>
      </c>
      <c r="Q40" s="39">
        <v>11</v>
      </c>
      <c r="R40" s="42">
        <v>1350</v>
      </c>
      <c r="S40" s="42">
        <v>894</v>
      </c>
      <c r="T40" s="72">
        <f t="shared" si="5"/>
        <v>-456</v>
      </c>
      <c r="V40" s="100">
        <f t="shared" si="6"/>
        <v>45885</v>
      </c>
      <c r="W40" s="39">
        <v>6</v>
      </c>
      <c r="X40" s="42">
        <v>850</v>
      </c>
      <c r="Y40" s="42">
        <v>544</v>
      </c>
      <c r="Z40" s="59">
        <v>-306</v>
      </c>
      <c r="AA40" s="49">
        <v>5</v>
      </c>
      <c r="AB40" s="49">
        <v>500</v>
      </c>
      <c r="AC40" s="49">
        <v>350</v>
      </c>
      <c r="AD40" s="50">
        <v>-150</v>
      </c>
      <c r="AE40" s="49">
        <f t="shared" si="7"/>
        <v>11</v>
      </c>
      <c r="AF40" s="49">
        <f t="shared" si="8"/>
        <v>1350</v>
      </c>
      <c r="AG40" s="49">
        <f t="shared" si="9"/>
        <v>894</v>
      </c>
      <c r="AH40" s="50">
        <f t="shared" si="10"/>
        <v>-456</v>
      </c>
    </row>
    <row r="41" spans="2:34" ht="18" hidden="1" customHeight="1" x14ac:dyDescent="0.35">
      <c r="B41" s="48"/>
      <c r="D41" s="141">
        <v>45892</v>
      </c>
      <c r="E41" s="33">
        <v>2</v>
      </c>
      <c r="F41" s="33">
        <v>1</v>
      </c>
      <c r="G41" s="50">
        <v>280</v>
      </c>
      <c r="H41" s="33">
        <v>4</v>
      </c>
      <c r="I41" s="33">
        <v>2</v>
      </c>
      <c r="J41" s="50">
        <v>635</v>
      </c>
      <c r="K41" s="33">
        <f t="shared" si="11"/>
        <v>6</v>
      </c>
      <c r="L41" s="33">
        <f t="shared" si="12"/>
        <v>3</v>
      </c>
      <c r="M41" s="50">
        <f t="shared" si="13"/>
        <v>915</v>
      </c>
      <c r="P41" s="100">
        <f t="shared" si="4"/>
        <v>45892</v>
      </c>
      <c r="Q41" s="39">
        <v>6</v>
      </c>
      <c r="R41" s="42">
        <v>700</v>
      </c>
      <c r="S41" s="42">
        <v>1615</v>
      </c>
      <c r="T41" s="72">
        <f t="shared" si="5"/>
        <v>915</v>
      </c>
      <c r="V41" s="100">
        <f t="shared" si="6"/>
        <v>45892</v>
      </c>
      <c r="W41" s="39">
        <v>4</v>
      </c>
      <c r="X41" s="42">
        <v>500</v>
      </c>
      <c r="Y41" s="42">
        <v>1135</v>
      </c>
      <c r="Z41" s="59">
        <v>635</v>
      </c>
      <c r="AA41" s="49">
        <v>2</v>
      </c>
      <c r="AB41" s="49">
        <v>200</v>
      </c>
      <c r="AC41" s="49">
        <v>480</v>
      </c>
      <c r="AD41" s="50">
        <v>280</v>
      </c>
      <c r="AE41" s="49">
        <f t="shared" si="7"/>
        <v>6</v>
      </c>
      <c r="AF41" s="49">
        <f t="shared" si="8"/>
        <v>700</v>
      </c>
      <c r="AG41" s="49">
        <f t="shared" si="9"/>
        <v>1615</v>
      </c>
      <c r="AH41" s="50">
        <f t="shared" si="10"/>
        <v>915</v>
      </c>
    </row>
    <row r="42" spans="2:34" ht="18" hidden="1" customHeight="1" x14ac:dyDescent="0.35">
      <c r="B42" s="48"/>
      <c r="D42" s="141">
        <v>45899</v>
      </c>
      <c r="E42" s="33">
        <v>12</v>
      </c>
      <c r="F42" s="33">
        <v>4</v>
      </c>
      <c r="G42" s="50">
        <v>-20</v>
      </c>
      <c r="H42" s="33">
        <v>9</v>
      </c>
      <c r="I42" s="33">
        <v>1</v>
      </c>
      <c r="J42" s="50">
        <v>-560</v>
      </c>
      <c r="K42" s="33">
        <f t="shared" si="11"/>
        <v>21</v>
      </c>
      <c r="L42" s="33">
        <f t="shared" si="12"/>
        <v>5</v>
      </c>
      <c r="M42" s="50">
        <f t="shared" si="13"/>
        <v>-580</v>
      </c>
      <c r="P42" s="100">
        <f t="shared" si="4"/>
        <v>45899</v>
      </c>
      <c r="Q42" s="39">
        <v>20</v>
      </c>
      <c r="R42" s="42">
        <v>2450</v>
      </c>
      <c r="S42" s="42">
        <v>2000</v>
      </c>
      <c r="T42" s="72">
        <f t="shared" si="5"/>
        <v>-450</v>
      </c>
      <c r="V42" s="100">
        <f t="shared" si="6"/>
        <v>45899</v>
      </c>
      <c r="W42" s="39">
        <v>9</v>
      </c>
      <c r="X42" s="42">
        <v>1280</v>
      </c>
      <c r="Y42" s="42">
        <v>720</v>
      </c>
      <c r="Z42" s="59">
        <v>-560</v>
      </c>
      <c r="AA42" s="49">
        <v>12</v>
      </c>
      <c r="AB42" s="49">
        <v>1300</v>
      </c>
      <c r="AC42" s="49">
        <v>1280</v>
      </c>
      <c r="AD42" s="50">
        <v>-20</v>
      </c>
      <c r="AE42" s="49">
        <f t="shared" si="7"/>
        <v>21</v>
      </c>
      <c r="AF42" s="49">
        <f t="shared" si="8"/>
        <v>2580</v>
      </c>
      <c r="AG42" s="49">
        <f t="shared" si="9"/>
        <v>2000</v>
      </c>
      <c r="AH42" s="50">
        <f t="shared" si="10"/>
        <v>-580</v>
      </c>
    </row>
    <row r="43" spans="2:34" ht="18" hidden="1" customHeight="1" x14ac:dyDescent="0.35">
      <c r="B43" s="48"/>
      <c r="D43" s="141">
        <v>45906</v>
      </c>
      <c r="E43" s="33">
        <v>9</v>
      </c>
      <c r="F43" s="33">
        <v>4</v>
      </c>
      <c r="G43" s="50">
        <v>350</v>
      </c>
      <c r="H43" s="33">
        <v>7</v>
      </c>
      <c r="I43" s="33">
        <v>4</v>
      </c>
      <c r="J43" s="50">
        <v>1411</v>
      </c>
      <c r="K43" s="33">
        <f t="shared" si="11"/>
        <v>16</v>
      </c>
      <c r="L43" s="33">
        <f t="shared" si="12"/>
        <v>8</v>
      </c>
      <c r="M43" s="50">
        <f t="shared" si="13"/>
        <v>1761</v>
      </c>
      <c r="P43" s="100">
        <f t="shared" si="4"/>
        <v>45906</v>
      </c>
      <c r="Q43" s="39">
        <v>15</v>
      </c>
      <c r="R43" s="42">
        <v>2000</v>
      </c>
      <c r="S43" s="42">
        <v>3481</v>
      </c>
      <c r="T43" s="72">
        <f t="shared" si="5"/>
        <v>1481</v>
      </c>
      <c r="V43" s="100">
        <f t="shared" si="6"/>
        <v>45906</v>
      </c>
      <c r="W43" s="39">
        <v>7</v>
      </c>
      <c r="X43" s="42">
        <v>1100</v>
      </c>
      <c r="Y43" s="42">
        <v>2511</v>
      </c>
      <c r="Z43" s="59">
        <v>1411</v>
      </c>
      <c r="AA43" s="49">
        <v>9</v>
      </c>
      <c r="AB43" s="49">
        <v>1100</v>
      </c>
      <c r="AC43" s="49">
        <v>1450</v>
      </c>
      <c r="AD43" s="50">
        <v>350</v>
      </c>
      <c r="AE43" s="49">
        <f t="shared" si="7"/>
        <v>16</v>
      </c>
      <c r="AF43" s="49">
        <f t="shared" si="8"/>
        <v>2200</v>
      </c>
      <c r="AG43" s="49">
        <f t="shared" si="9"/>
        <v>3961</v>
      </c>
      <c r="AH43" s="50">
        <f t="shared" si="10"/>
        <v>1761</v>
      </c>
    </row>
    <row r="44" spans="2:34" ht="18" hidden="1" customHeight="1" x14ac:dyDescent="0.35">
      <c r="B44" s="48"/>
      <c r="D44" s="141">
        <v>45913</v>
      </c>
      <c r="E44" s="33">
        <v>15</v>
      </c>
      <c r="F44" s="33">
        <v>2</v>
      </c>
      <c r="G44" s="50">
        <v>-1430</v>
      </c>
      <c r="H44" s="33">
        <v>8</v>
      </c>
      <c r="I44" s="33">
        <v>3</v>
      </c>
      <c r="J44" s="50">
        <v>630</v>
      </c>
      <c r="K44" s="33">
        <f t="shared" si="11"/>
        <v>23</v>
      </c>
      <c r="L44" s="33">
        <f t="shared" si="12"/>
        <v>5</v>
      </c>
      <c r="M44" s="50">
        <f t="shared" si="13"/>
        <v>-800</v>
      </c>
      <c r="P44" s="100">
        <f t="shared" si="4"/>
        <v>45913</v>
      </c>
      <c r="Q44" s="39">
        <v>21</v>
      </c>
      <c r="R44" s="42">
        <v>2650</v>
      </c>
      <c r="S44" s="42">
        <v>1840</v>
      </c>
      <c r="T44" s="72">
        <f t="shared" si="5"/>
        <v>-810</v>
      </c>
      <c r="V44" s="100">
        <f t="shared" si="6"/>
        <v>45913</v>
      </c>
      <c r="W44" s="39">
        <v>8</v>
      </c>
      <c r="X44" s="42">
        <v>940</v>
      </c>
      <c r="Y44" s="42">
        <v>1570</v>
      </c>
      <c r="Z44" s="59">
        <v>630</v>
      </c>
      <c r="AA44" s="49">
        <v>15</v>
      </c>
      <c r="AB44" s="49">
        <v>1950</v>
      </c>
      <c r="AC44" s="49">
        <v>520</v>
      </c>
      <c r="AD44" s="50">
        <v>-1430</v>
      </c>
      <c r="AE44" s="49">
        <f t="shared" si="7"/>
        <v>23</v>
      </c>
      <c r="AF44" s="49">
        <f t="shared" si="8"/>
        <v>2890</v>
      </c>
      <c r="AG44" s="49">
        <f t="shared" si="9"/>
        <v>2090</v>
      </c>
      <c r="AH44" s="50">
        <f t="shared" si="10"/>
        <v>-800</v>
      </c>
    </row>
    <row r="45" spans="2:34" ht="18" hidden="1" customHeight="1" thickBot="1" x14ac:dyDescent="0.35">
      <c r="B45" s="48"/>
      <c r="D45" s="141">
        <v>45920</v>
      </c>
      <c r="E45" s="66">
        <v>6</v>
      </c>
      <c r="F45" s="66">
        <v>3</v>
      </c>
      <c r="G45" s="50">
        <v>338</v>
      </c>
      <c r="H45" s="66">
        <v>10</v>
      </c>
      <c r="I45" s="66">
        <v>3</v>
      </c>
      <c r="J45" s="50">
        <v>55.999999999999943</v>
      </c>
      <c r="K45" s="66">
        <f t="shared" si="11"/>
        <v>16</v>
      </c>
      <c r="L45" s="66">
        <f t="shared" si="12"/>
        <v>6</v>
      </c>
      <c r="M45" s="50">
        <f t="shared" si="13"/>
        <v>393.99999999999994</v>
      </c>
      <c r="P45" s="143">
        <f t="shared" si="4"/>
        <v>45920</v>
      </c>
      <c r="Q45" s="67">
        <v>14</v>
      </c>
      <c r="R45" s="68">
        <v>1850</v>
      </c>
      <c r="S45" s="68">
        <v>1930</v>
      </c>
      <c r="T45" s="148">
        <f t="shared" si="5"/>
        <v>80</v>
      </c>
      <c r="V45" s="143">
        <f t="shared" si="6"/>
        <v>45920</v>
      </c>
      <c r="W45" s="67">
        <v>10</v>
      </c>
      <c r="X45" s="68">
        <v>1330</v>
      </c>
      <c r="Y45" s="68">
        <v>1386</v>
      </c>
      <c r="Z45" s="69">
        <v>55.999999999999943</v>
      </c>
      <c r="AA45" s="83">
        <v>6</v>
      </c>
      <c r="AB45" s="83">
        <v>800</v>
      </c>
      <c r="AC45" s="83">
        <v>1137.5</v>
      </c>
      <c r="AD45" s="84">
        <v>337.5</v>
      </c>
      <c r="AE45" s="83">
        <f t="shared" si="7"/>
        <v>16</v>
      </c>
      <c r="AF45" s="83">
        <f t="shared" si="8"/>
        <v>2130</v>
      </c>
      <c r="AG45" s="83">
        <f t="shared" si="9"/>
        <v>2523.5</v>
      </c>
      <c r="AH45" s="84">
        <f t="shared" si="10"/>
        <v>393.49999999999994</v>
      </c>
    </row>
    <row r="46" spans="2:34" ht="18" customHeight="1" x14ac:dyDescent="0.3">
      <c r="B46" s="48"/>
      <c r="D46" s="141">
        <v>45926</v>
      </c>
      <c r="E46" s="124">
        <v>2</v>
      </c>
      <c r="F46" s="124">
        <v>1</v>
      </c>
      <c r="G46" s="72">
        <v>800</v>
      </c>
      <c r="H46" s="124">
        <v>3</v>
      </c>
      <c r="I46" s="124">
        <v>1</v>
      </c>
      <c r="J46" s="72">
        <v>680</v>
      </c>
      <c r="K46" s="124">
        <f t="shared" si="11"/>
        <v>5</v>
      </c>
      <c r="L46" s="124">
        <f t="shared" si="12"/>
        <v>2</v>
      </c>
      <c r="M46" s="150">
        <f t="shared" si="13"/>
        <v>1480</v>
      </c>
      <c r="P46" s="144">
        <f t="shared" si="4"/>
        <v>45926</v>
      </c>
      <c r="Q46" s="76">
        <v>3</v>
      </c>
      <c r="R46" s="77">
        <v>420</v>
      </c>
      <c r="S46" s="77">
        <v>1100</v>
      </c>
      <c r="T46" s="149">
        <f t="shared" si="5"/>
        <v>680</v>
      </c>
      <c r="V46" s="144">
        <f t="shared" si="6"/>
        <v>45926</v>
      </c>
      <c r="W46" s="76">
        <v>3</v>
      </c>
      <c r="X46" s="77">
        <v>420</v>
      </c>
      <c r="Y46" s="77">
        <v>1100</v>
      </c>
      <c r="Z46" s="145">
        <f>Y46-X46</f>
        <v>680</v>
      </c>
      <c r="AA46" s="90">
        <v>2</v>
      </c>
      <c r="AB46" s="91">
        <v>300</v>
      </c>
      <c r="AC46" s="146">
        <v>1100</v>
      </c>
      <c r="AD46" s="145">
        <f>AC46-AB46</f>
        <v>800</v>
      </c>
      <c r="AE46" s="90">
        <f t="shared" si="7"/>
        <v>5</v>
      </c>
      <c r="AF46" s="91">
        <f t="shared" si="8"/>
        <v>720</v>
      </c>
      <c r="AG46" s="142">
        <f t="shared" si="9"/>
        <v>2200</v>
      </c>
      <c r="AH46" s="92">
        <f t="shared" si="10"/>
        <v>1480</v>
      </c>
    </row>
    <row r="47" spans="2:34" ht="18" customHeight="1" x14ac:dyDescent="0.3">
      <c r="B47" s="48"/>
      <c r="D47" s="141">
        <v>45927</v>
      </c>
      <c r="E47" s="125">
        <v>4</v>
      </c>
      <c r="F47" s="125">
        <v>1</v>
      </c>
      <c r="G47" s="72">
        <v>-795</v>
      </c>
      <c r="H47" s="125">
        <v>9</v>
      </c>
      <c r="I47" s="125">
        <v>3</v>
      </c>
      <c r="J47" s="72">
        <v>474</v>
      </c>
      <c r="K47" s="125">
        <f t="shared" si="11"/>
        <v>13</v>
      </c>
      <c r="L47" s="125">
        <f t="shared" si="12"/>
        <v>4</v>
      </c>
      <c r="M47" s="150">
        <f t="shared" si="13"/>
        <v>-321</v>
      </c>
      <c r="P47" s="147">
        <f t="shared" si="4"/>
        <v>45927</v>
      </c>
      <c r="Q47" s="63">
        <v>11</v>
      </c>
      <c r="R47" s="64">
        <v>1760</v>
      </c>
      <c r="S47" s="64">
        <v>1934</v>
      </c>
      <c r="T47" s="150">
        <f t="shared" si="5"/>
        <v>174</v>
      </c>
      <c r="V47" s="147">
        <f t="shared" si="6"/>
        <v>45927</v>
      </c>
      <c r="W47" s="63">
        <v>9</v>
      </c>
      <c r="X47" s="64">
        <v>1460</v>
      </c>
      <c r="Y47" s="64">
        <v>1934</v>
      </c>
      <c r="Z47" s="72">
        <f t="shared" ref="Z47:Z69" si="14">Y47-X47</f>
        <v>474</v>
      </c>
      <c r="AA47" s="93">
        <v>7</v>
      </c>
      <c r="AB47" s="65">
        <v>1000</v>
      </c>
      <c r="AC47" s="142">
        <v>204.99999999999997</v>
      </c>
      <c r="AD47" s="72">
        <f t="shared" ref="AD47:AD61" si="15">AC47-AB47</f>
        <v>-795</v>
      </c>
      <c r="AE47" s="93">
        <f t="shared" si="7"/>
        <v>16</v>
      </c>
      <c r="AF47" s="65">
        <f t="shared" si="8"/>
        <v>2460</v>
      </c>
      <c r="AG47" s="142">
        <f t="shared" si="9"/>
        <v>2139</v>
      </c>
      <c r="AH47" s="94">
        <f t="shared" si="10"/>
        <v>-321</v>
      </c>
    </row>
    <row r="48" spans="2:34" ht="18" customHeight="1" x14ac:dyDescent="0.3">
      <c r="B48" s="48"/>
      <c r="D48" s="141">
        <v>45934</v>
      </c>
      <c r="E48" s="125">
        <v>7</v>
      </c>
      <c r="F48" s="125">
        <v>3</v>
      </c>
      <c r="G48" s="72">
        <v>345</v>
      </c>
      <c r="H48" s="125">
        <v>4</v>
      </c>
      <c r="I48" s="125">
        <v>1</v>
      </c>
      <c r="J48" s="72">
        <v>-80</v>
      </c>
      <c r="K48" s="125">
        <f t="shared" si="11"/>
        <v>11</v>
      </c>
      <c r="L48" s="125">
        <f t="shared" si="12"/>
        <v>4</v>
      </c>
      <c r="M48" s="150">
        <f t="shared" si="13"/>
        <v>265</v>
      </c>
      <c r="P48" s="147">
        <f t="shared" si="4"/>
        <v>45934</v>
      </c>
      <c r="Q48" s="63">
        <v>12</v>
      </c>
      <c r="R48" s="64">
        <v>1220</v>
      </c>
      <c r="S48" s="64">
        <v>1485</v>
      </c>
      <c r="T48" s="150">
        <f t="shared" si="5"/>
        <v>265</v>
      </c>
      <c r="V48" s="147">
        <f t="shared" si="6"/>
        <v>45934</v>
      </c>
      <c r="W48" s="63">
        <v>4</v>
      </c>
      <c r="X48" s="64">
        <v>420</v>
      </c>
      <c r="Y48" s="64">
        <v>340</v>
      </c>
      <c r="Z48" s="72">
        <f t="shared" si="14"/>
        <v>-80</v>
      </c>
      <c r="AA48" s="93">
        <v>8</v>
      </c>
      <c r="AB48" s="65">
        <v>800</v>
      </c>
      <c r="AC48" s="142">
        <v>1145</v>
      </c>
      <c r="AD48" s="72">
        <f t="shared" si="15"/>
        <v>345</v>
      </c>
      <c r="AE48" s="93">
        <f t="shared" si="7"/>
        <v>12</v>
      </c>
      <c r="AF48" s="65">
        <f t="shared" si="8"/>
        <v>1220</v>
      </c>
      <c r="AG48" s="142">
        <f t="shared" si="9"/>
        <v>1485</v>
      </c>
      <c r="AH48" s="94">
        <f t="shared" si="10"/>
        <v>265</v>
      </c>
    </row>
    <row r="49" spans="2:34" ht="18" customHeight="1" x14ac:dyDescent="0.3">
      <c r="B49" s="48"/>
      <c r="D49" s="141">
        <v>45941</v>
      </c>
      <c r="E49" s="125">
        <v>13</v>
      </c>
      <c r="F49" s="125">
        <v>5</v>
      </c>
      <c r="G49" s="72">
        <v>392</v>
      </c>
      <c r="H49" s="125">
        <v>7</v>
      </c>
      <c r="I49" s="125">
        <v>4</v>
      </c>
      <c r="J49" s="72">
        <v>1035</v>
      </c>
      <c r="K49" s="125">
        <f t="shared" si="11"/>
        <v>20</v>
      </c>
      <c r="L49" s="125">
        <f t="shared" si="12"/>
        <v>9</v>
      </c>
      <c r="M49" s="150">
        <f t="shared" si="13"/>
        <v>1427</v>
      </c>
      <c r="P49" s="147">
        <f t="shared" si="4"/>
        <v>45941</v>
      </c>
      <c r="Q49" s="63">
        <v>17</v>
      </c>
      <c r="R49" s="64">
        <v>2290</v>
      </c>
      <c r="S49" s="64">
        <v>3740</v>
      </c>
      <c r="T49" s="150">
        <f t="shared" si="5"/>
        <v>1450</v>
      </c>
      <c r="V49" s="147">
        <f t="shared" si="6"/>
        <v>45941</v>
      </c>
      <c r="W49" s="63">
        <v>7</v>
      </c>
      <c r="X49" s="64">
        <v>780</v>
      </c>
      <c r="Y49" s="64">
        <v>1815</v>
      </c>
      <c r="Z49" s="72">
        <f t="shared" si="14"/>
        <v>1035</v>
      </c>
      <c r="AA49" s="93">
        <v>13</v>
      </c>
      <c r="AB49" s="65">
        <v>1900</v>
      </c>
      <c r="AC49" s="142">
        <v>2292.5</v>
      </c>
      <c r="AD49" s="72">
        <f t="shared" si="15"/>
        <v>392.5</v>
      </c>
      <c r="AE49" s="93">
        <f t="shared" si="7"/>
        <v>20</v>
      </c>
      <c r="AF49" s="65">
        <f t="shared" si="8"/>
        <v>2680</v>
      </c>
      <c r="AG49" s="142">
        <f t="shared" si="9"/>
        <v>4107.5</v>
      </c>
      <c r="AH49" s="94">
        <f t="shared" si="10"/>
        <v>1427.5</v>
      </c>
    </row>
    <row r="50" spans="2:34" ht="18" customHeight="1" x14ac:dyDescent="0.3">
      <c r="B50" s="48"/>
      <c r="D50" s="141">
        <v>45948</v>
      </c>
      <c r="E50" s="125">
        <v>5</v>
      </c>
      <c r="F50" s="125">
        <v>2</v>
      </c>
      <c r="G50" s="72">
        <v>-160</v>
      </c>
      <c r="H50" s="125">
        <v>4</v>
      </c>
      <c r="I50" s="125">
        <v>1</v>
      </c>
      <c r="J50" s="72">
        <v>200</v>
      </c>
      <c r="K50" s="125">
        <f t="shared" si="11"/>
        <v>9</v>
      </c>
      <c r="L50" s="125">
        <f t="shared" si="12"/>
        <v>3</v>
      </c>
      <c r="M50" s="150">
        <f t="shared" si="13"/>
        <v>40</v>
      </c>
      <c r="P50" s="147">
        <f t="shared" si="4"/>
        <v>45948</v>
      </c>
      <c r="Q50" s="63">
        <v>9</v>
      </c>
      <c r="R50" s="64">
        <v>1050</v>
      </c>
      <c r="S50" s="64">
        <v>1090</v>
      </c>
      <c r="T50" s="150">
        <f t="shared" si="5"/>
        <v>40</v>
      </c>
      <c r="V50" s="147">
        <f t="shared" si="6"/>
        <v>45948</v>
      </c>
      <c r="W50" s="63">
        <v>4</v>
      </c>
      <c r="X50" s="64">
        <v>450</v>
      </c>
      <c r="Y50" s="64">
        <v>650</v>
      </c>
      <c r="Z50" s="72">
        <f t="shared" si="14"/>
        <v>200</v>
      </c>
      <c r="AA50" s="93">
        <v>5</v>
      </c>
      <c r="AB50" s="65">
        <v>600</v>
      </c>
      <c r="AC50" s="142">
        <v>440</v>
      </c>
      <c r="AD50" s="72">
        <f t="shared" si="15"/>
        <v>-160</v>
      </c>
      <c r="AE50" s="93">
        <f t="shared" si="7"/>
        <v>9</v>
      </c>
      <c r="AF50" s="65">
        <f t="shared" si="8"/>
        <v>1050</v>
      </c>
      <c r="AG50" s="142">
        <f t="shared" si="9"/>
        <v>1090</v>
      </c>
      <c r="AH50" s="94">
        <f t="shared" si="10"/>
        <v>40</v>
      </c>
    </row>
    <row r="51" spans="2:34" ht="18" customHeight="1" x14ac:dyDescent="0.25">
      <c r="D51" s="141">
        <v>45955</v>
      </c>
      <c r="E51" s="125">
        <v>9</v>
      </c>
      <c r="F51" s="125">
        <v>4</v>
      </c>
      <c r="G51" s="72">
        <v>1625</v>
      </c>
      <c r="H51" s="125">
        <v>2</v>
      </c>
      <c r="I51" s="125">
        <v>1</v>
      </c>
      <c r="J51" s="72">
        <v>186</v>
      </c>
      <c r="K51" s="125">
        <f t="shared" si="11"/>
        <v>11</v>
      </c>
      <c r="L51" s="125">
        <f t="shared" si="12"/>
        <v>5</v>
      </c>
      <c r="M51" s="150">
        <f t="shared" si="13"/>
        <v>1811</v>
      </c>
      <c r="P51" s="147">
        <f t="shared" si="4"/>
        <v>45955</v>
      </c>
      <c r="Q51" s="63">
        <v>10</v>
      </c>
      <c r="R51" s="64">
        <v>1120</v>
      </c>
      <c r="S51" s="64">
        <v>3081</v>
      </c>
      <c r="T51" s="150">
        <f t="shared" si="5"/>
        <v>1961</v>
      </c>
      <c r="V51" s="147">
        <f t="shared" si="6"/>
        <v>45955</v>
      </c>
      <c r="W51" s="63">
        <v>2</v>
      </c>
      <c r="X51" s="64">
        <v>270</v>
      </c>
      <c r="Y51" s="64">
        <v>456</v>
      </c>
      <c r="Z51" s="72">
        <f t="shared" si="14"/>
        <v>186</v>
      </c>
      <c r="AA51" s="93">
        <v>9</v>
      </c>
      <c r="AB51" s="65">
        <v>1000</v>
      </c>
      <c r="AC51" s="142">
        <v>2625</v>
      </c>
      <c r="AD51" s="72">
        <f t="shared" si="15"/>
        <v>1625</v>
      </c>
      <c r="AE51" s="93">
        <f t="shared" si="7"/>
        <v>11</v>
      </c>
      <c r="AF51" s="65">
        <f t="shared" si="8"/>
        <v>1270</v>
      </c>
      <c r="AG51" s="142">
        <f t="shared" si="9"/>
        <v>3081</v>
      </c>
      <c r="AH51" s="94">
        <f t="shared" si="10"/>
        <v>1811</v>
      </c>
    </row>
    <row r="52" spans="2:34" ht="18" customHeight="1" x14ac:dyDescent="0.25">
      <c r="D52" s="141">
        <v>45962</v>
      </c>
      <c r="E52" s="125">
        <v>7</v>
      </c>
      <c r="F52" s="125">
        <v>3</v>
      </c>
      <c r="G52" s="72">
        <v>1563</v>
      </c>
      <c r="H52" s="125">
        <v>8</v>
      </c>
      <c r="I52" s="125">
        <v>3</v>
      </c>
      <c r="J52" s="72">
        <v>350</v>
      </c>
      <c r="K52" s="125">
        <f t="shared" si="11"/>
        <v>15</v>
      </c>
      <c r="L52" s="125">
        <f t="shared" si="12"/>
        <v>6</v>
      </c>
      <c r="M52" s="150">
        <f t="shared" si="13"/>
        <v>1913</v>
      </c>
      <c r="P52" s="147">
        <f t="shared" si="4"/>
        <v>45962</v>
      </c>
      <c r="Q52" s="63">
        <v>12</v>
      </c>
      <c r="R52" s="64">
        <v>1850</v>
      </c>
      <c r="S52" s="64">
        <v>3500</v>
      </c>
      <c r="T52" s="150">
        <f t="shared" si="5"/>
        <v>1650</v>
      </c>
      <c r="V52" s="147">
        <f t="shared" si="6"/>
        <v>45962</v>
      </c>
      <c r="W52" s="63">
        <v>8</v>
      </c>
      <c r="X52" s="64">
        <v>1150</v>
      </c>
      <c r="Y52" s="64">
        <v>1500</v>
      </c>
      <c r="Z52" s="72">
        <f t="shared" si="14"/>
        <v>350</v>
      </c>
      <c r="AA52" s="93">
        <v>7</v>
      </c>
      <c r="AB52" s="65">
        <v>1150</v>
      </c>
      <c r="AC52" s="142">
        <v>2712.5</v>
      </c>
      <c r="AD52" s="72">
        <f t="shared" si="15"/>
        <v>1562.5</v>
      </c>
      <c r="AE52" s="93">
        <f t="shared" si="7"/>
        <v>15</v>
      </c>
      <c r="AF52" s="65">
        <f t="shared" si="8"/>
        <v>2300</v>
      </c>
      <c r="AG52" s="142">
        <f t="shared" si="9"/>
        <v>4212.5</v>
      </c>
      <c r="AH52" s="94">
        <f t="shared" si="10"/>
        <v>1912.5</v>
      </c>
    </row>
    <row r="53" spans="2:34" ht="18" customHeight="1" x14ac:dyDescent="0.25">
      <c r="D53" s="141">
        <v>45965</v>
      </c>
      <c r="E53" s="125">
        <v>0</v>
      </c>
      <c r="F53" s="125">
        <v>0</v>
      </c>
      <c r="G53" s="72">
        <v>0</v>
      </c>
      <c r="H53" s="125">
        <v>3</v>
      </c>
      <c r="I53" s="125">
        <v>1</v>
      </c>
      <c r="J53" s="72">
        <v>0</v>
      </c>
      <c r="K53" s="125">
        <f t="shared" si="11"/>
        <v>3</v>
      </c>
      <c r="L53" s="125">
        <f t="shared" si="12"/>
        <v>1</v>
      </c>
      <c r="M53" s="150">
        <f t="shared" si="13"/>
        <v>0</v>
      </c>
      <c r="P53" s="147">
        <f t="shared" si="4"/>
        <v>45965</v>
      </c>
      <c r="Q53" s="63">
        <v>3</v>
      </c>
      <c r="R53" s="64">
        <v>250</v>
      </c>
      <c r="S53" s="64">
        <v>250</v>
      </c>
      <c r="T53" s="150">
        <f t="shared" si="5"/>
        <v>0</v>
      </c>
      <c r="V53" s="147">
        <f t="shared" si="6"/>
        <v>45965</v>
      </c>
      <c r="W53" s="63">
        <v>3</v>
      </c>
      <c r="X53" s="64">
        <v>250</v>
      </c>
      <c r="Y53" s="64">
        <v>250</v>
      </c>
      <c r="Z53" s="72">
        <f t="shared" si="14"/>
        <v>0</v>
      </c>
      <c r="AA53" s="93"/>
      <c r="AB53" s="65"/>
      <c r="AC53" s="142"/>
      <c r="AD53" s="72">
        <f t="shared" si="15"/>
        <v>0</v>
      </c>
      <c r="AE53" s="93">
        <f>W53+AA53</f>
        <v>3</v>
      </c>
      <c r="AF53" s="65">
        <f t="shared" si="8"/>
        <v>250</v>
      </c>
      <c r="AG53" s="142">
        <f t="shared" si="9"/>
        <v>250</v>
      </c>
      <c r="AH53" s="94">
        <f t="shared" si="10"/>
        <v>0</v>
      </c>
    </row>
    <row r="54" spans="2:34" ht="18" customHeight="1" x14ac:dyDescent="0.25">
      <c r="D54" s="141">
        <v>45967</v>
      </c>
      <c r="E54" s="125">
        <v>4</v>
      </c>
      <c r="F54" s="125">
        <v>1</v>
      </c>
      <c r="G54" s="72">
        <v>-100</v>
      </c>
      <c r="H54" s="125">
        <v>3</v>
      </c>
      <c r="I54" s="125">
        <v>0</v>
      </c>
      <c r="J54" s="72">
        <v>-250</v>
      </c>
      <c r="K54" s="125">
        <f t="shared" si="11"/>
        <v>7</v>
      </c>
      <c r="L54" s="125">
        <f t="shared" si="12"/>
        <v>1</v>
      </c>
      <c r="M54" s="150">
        <f t="shared" si="13"/>
        <v>-350</v>
      </c>
      <c r="P54" s="147">
        <f t="shared" si="4"/>
        <v>45967</v>
      </c>
      <c r="Q54" s="63">
        <v>7</v>
      </c>
      <c r="R54" s="64">
        <v>750</v>
      </c>
      <c r="S54" s="64">
        <v>400</v>
      </c>
      <c r="T54" s="150">
        <f t="shared" si="5"/>
        <v>-350</v>
      </c>
      <c r="V54" s="147">
        <f t="shared" si="6"/>
        <v>45967</v>
      </c>
      <c r="W54" s="63">
        <v>3</v>
      </c>
      <c r="X54" s="64">
        <v>250</v>
      </c>
      <c r="Y54" s="64">
        <v>0</v>
      </c>
      <c r="Z54" s="72">
        <f t="shared" si="14"/>
        <v>-250</v>
      </c>
      <c r="AA54" s="93">
        <v>4</v>
      </c>
      <c r="AB54" s="65">
        <v>500</v>
      </c>
      <c r="AC54" s="142">
        <v>400</v>
      </c>
      <c r="AD54" s="72">
        <f t="shared" si="15"/>
        <v>-100</v>
      </c>
      <c r="AE54" s="93">
        <f t="shared" ref="AE54:AE57" si="16">W54+AA54</f>
        <v>7</v>
      </c>
      <c r="AF54" s="65">
        <f t="shared" ref="AF54:AF57" si="17">X54+AB54</f>
        <v>750</v>
      </c>
      <c r="AG54" s="142">
        <f t="shared" ref="AG54:AG57" si="18">Y54+AC54</f>
        <v>400</v>
      </c>
      <c r="AH54" s="94">
        <f t="shared" ref="AH54:AH58" si="19">Z54+AD54</f>
        <v>-350</v>
      </c>
    </row>
    <row r="55" spans="2:34" ht="18" customHeight="1" x14ac:dyDescent="0.25">
      <c r="D55" s="141">
        <v>45969</v>
      </c>
      <c r="E55" s="125">
        <v>9</v>
      </c>
      <c r="F55" s="125">
        <v>2</v>
      </c>
      <c r="G55" s="72">
        <v>-480</v>
      </c>
      <c r="H55" s="125">
        <v>5</v>
      </c>
      <c r="I55" s="125">
        <v>0</v>
      </c>
      <c r="J55" s="72">
        <v>-750</v>
      </c>
      <c r="K55" s="125">
        <f t="shared" si="11"/>
        <v>14</v>
      </c>
      <c r="L55" s="125">
        <f t="shared" si="12"/>
        <v>2</v>
      </c>
      <c r="M55" s="150">
        <f t="shared" si="13"/>
        <v>-1230</v>
      </c>
      <c r="P55" s="147">
        <f t="shared" si="4"/>
        <v>45969</v>
      </c>
      <c r="Q55" s="63">
        <v>12</v>
      </c>
      <c r="R55" s="64">
        <v>1450</v>
      </c>
      <c r="S55" s="64">
        <v>520</v>
      </c>
      <c r="T55" s="150">
        <f t="shared" si="5"/>
        <v>-930</v>
      </c>
      <c r="V55" s="147">
        <f t="shared" si="6"/>
        <v>45969</v>
      </c>
      <c r="W55" s="63">
        <v>5</v>
      </c>
      <c r="X55" s="64">
        <v>750</v>
      </c>
      <c r="Y55" s="64">
        <v>0</v>
      </c>
      <c r="Z55" s="72">
        <f t="shared" si="14"/>
        <v>-750</v>
      </c>
      <c r="AA55" s="93">
        <v>9</v>
      </c>
      <c r="AB55" s="65">
        <v>1000</v>
      </c>
      <c r="AC55" s="142">
        <v>520</v>
      </c>
      <c r="AD55" s="72">
        <f t="shared" si="15"/>
        <v>-480</v>
      </c>
      <c r="AE55" s="93">
        <f t="shared" si="16"/>
        <v>14</v>
      </c>
      <c r="AF55" s="65">
        <f t="shared" si="17"/>
        <v>1750</v>
      </c>
      <c r="AG55" s="142">
        <f t="shared" si="18"/>
        <v>520</v>
      </c>
      <c r="AH55" s="94">
        <f t="shared" si="19"/>
        <v>-1230</v>
      </c>
    </row>
    <row r="56" spans="2:34" ht="18" customHeight="1" x14ac:dyDescent="0.25">
      <c r="D56" s="141">
        <v>45976</v>
      </c>
      <c r="E56" s="125">
        <v>6</v>
      </c>
      <c r="F56" s="125">
        <v>0</v>
      </c>
      <c r="G56" s="72">
        <v>-850</v>
      </c>
      <c r="H56" s="125">
        <v>11</v>
      </c>
      <c r="I56" s="125">
        <v>4</v>
      </c>
      <c r="J56" s="72">
        <v>391</v>
      </c>
      <c r="K56" s="125">
        <f t="shared" ref="K56:K59" si="20">E56+H56</f>
        <v>17</v>
      </c>
      <c r="L56" s="125">
        <f t="shared" ref="L56:L59" si="21">F56+I56</f>
        <v>4</v>
      </c>
      <c r="M56" s="150">
        <f t="shared" ref="M56:M59" si="22">G56+J56</f>
        <v>-459</v>
      </c>
      <c r="P56" s="147">
        <f t="shared" si="4"/>
        <v>45976</v>
      </c>
      <c r="Q56" s="63">
        <v>15</v>
      </c>
      <c r="R56" s="64">
        <v>2030</v>
      </c>
      <c r="S56" s="64">
        <v>1771</v>
      </c>
      <c r="T56" s="150">
        <f t="shared" si="5"/>
        <v>-259</v>
      </c>
      <c r="V56" s="147">
        <f t="shared" si="6"/>
        <v>45976</v>
      </c>
      <c r="W56" s="63">
        <v>11</v>
      </c>
      <c r="X56" s="64">
        <v>1380</v>
      </c>
      <c r="Y56" s="64">
        <v>1771</v>
      </c>
      <c r="Z56" s="72">
        <f t="shared" si="14"/>
        <v>391</v>
      </c>
      <c r="AA56" s="93">
        <v>6</v>
      </c>
      <c r="AB56" s="65">
        <v>850</v>
      </c>
      <c r="AC56" s="142">
        <v>0</v>
      </c>
      <c r="AD56" s="72">
        <f t="shared" si="15"/>
        <v>-850</v>
      </c>
      <c r="AE56" s="93">
        <f t="shared" si="16"/>
        <v>17</v>
      </c>
      <c r="AF56" s="65">
        <f t="shared" si="17"/>
        <v>2230</v>
      </c>
      <c r="AG56" s="142">
        <f t="shared" si="18"/>
        <v>1771</v>
      </c>
      <c r="AH56" s="94">
        <f t="shared" si="19"/>
        <v>-459</v>
      </c>
    </row>
    <row r="57" spans="2:34" ht="18" customHeight="1" x14ac:dyDescent="0.25">
      <c r="D57" s="141">
        <v>45983</v>
      </c>
      <c r="E57" s="125">
        <v>1</v>
      </c>
      <c r="F57" s="125">
        <v>0</v>
      </c>
      <c r="G57" s="72">
        <v>-150</v>
      </c>
      <c r="H57" s="125">
        <v>8</v>
      </c>
      <c r="I57" s="125">
        <v>3</v>
      </c>
      <c r="J57" s="72">
        <v>410</v>
      </c>
      <c r="K57" s="125">
        <f t="shared" si="20"/>
        <v>9</v>
      </c>
      <c r="L57" s="125">
        <f t="shared" si="21"/>
        <v>3</v>
      </c>
      <c r="M57" s="150">
        <f t="shared" si="22"/>
        <v>260</v>
      </c>
      <c r="P57" s="147">
        <f t="shared" si="4"/>
        <v>45983</v>
      </c>
      <c r="Q57" s="63">
        <v>8</v>
      </c>
      <c r="R57" s="64">
        <v>950</v>
      </c>
      <c r="S57" s="64">
        <v>1360</v>
      </c>
      <c r="T57" s="150">
        <f t="shared" si="5"/>
        <v>410</v>
      </c>
      <c r="V57" s="147">
        <f t="shared" si="6"/>
        <v>45983</v>
      </c>
      <c r="W57" s="63">
        <v>8</v>
      </c>
      <c r="X57" s="64">
        <v>950</v>
      </c>
      <c r="Y57" s="64">
        <v>1360</v>
      </c>
      <c r="Z57" s="72">
        <f t="shared" si="14"/>
        <v>410</v>
      </c>
      <c r="AA57" s="93">
        <v>1</v>
      </c>
      <c r="AB57" s="65">
        <v>150</v>
      </c>
      <c r="AC57" s="142">
        <v>0</v>
      </c>
      <c r="AD57" s="72">
        <f t="shared" si="15"/>
        <v>-150</v>
      </c>
      <c r="AE57" s="93">
        <f t="shared" si="16"/>
        <v>9</v>
      </c>
      <c r="AF57" s="65">
        <f t="shared" si="17"/>
        <v>1100</v>
      </c>
      <c r="AG57" s="142">
        <f t="shared" si="18"/>
        <v>1360</v>
      </c>
      <c r="AH57" s="94">
        <f t="shared" si="19"/>
        <v>260</v>
      </c>
    </row>
    <row r="58" spans="2:34" ht="18" customHeight="1" x14ac:dyDescent="0.25">
      <c r="D58" s="141">
        <v>45990</v>
      </c>
      <c r="E58" s="125">
        <v>9</v>
      </c>
      <c r="F58" s="125">
        <v>3</v>
      </c>
      <c r="G58" s="72">
        <v>-450</v>
      </c>
      <c r="H58" s="125">
        <v>6</v>
      </c>
      <c r="I58" s="125">
        <v>1</v>
      </c>
      <c r="J58" s="72">
        <v>-405</v>
      </c>
      <c r="K58" s="125">
        <f t="shared" si="20"/>
        <v>15</v>
      </c>
      <c r="L58" s="125">
        <f t="shared" si="21"/>
        <v>4</v>
      </c>
      <c r="M58" s="150">
        <f t="shared" si="22"/>
        <v>-855</v>
      </c>
      <c r="P58" s="147">
        <f t="shared" si="4"/>
        <v>45990</v>
      </c>
      <c r="Q58" s="63">
        <v>13</v>
      </c>
      <c r="R58" s="64">
        <v>1660</v>
      </c>
      <c r="S58" s="64">
        <v>1165</v>
      </c>
      <c r="T58" s="150">
        <f t="shared" si="5"/>
        <v>-495</v>
      </c>
      <c r="V58" s="147">
        <f t="shared" si="6"/>
        <v>45990</v>
      </c>
      <c r="W58" s="63">
        <v>6</v>
      </c>
      <c r="X58" s="64">
        <v>870</v>
      </c>
      <c r="Y58" s="64">
        <v>465</v>
      </c>
      <c r="Z58" s="72">
        <f t="shared" si="14"/>
        <v>-405</v>
      </c>
      <c r="AA58" s="93">
        <v>9</v>
      </c>
      <c r="AB58" s="65">
        <v>1150</v>
      </c>
      <c r="AC58" s="142">
        <v>700</v>
      </c>
      <c r="AD58" s="72">
        <f t="shared" si="15"/>
        <v>-450</v>
      </c>
      <c r="AE58" s="93">
        <f t="shared" ref="AE58" si="23">W58+AA58</f>
        <v>15</v>
      </c>
      <c r="AF58" s="65">
        <f t="shared" ref="AF58" si="24">X58+AB58</f>
        <v>2020</v>
      </c>
      <c r="AG58" s="142">
        <f t="shared" ref="AG58" si="25">Y58+AC58</f>
        <v>1165</v>
      </c>
      <c r="AH58" s="94">
        <f t="shared" si="19"/>
        <v>-855</v>
      </c>
    </row>
    <row r="59" spans="2:34" ht="18" customHeight="1" x14ac:dyDescent="0.25">
      <c r="D59" s="141">
        <v>45997</v>
      </c>
      <c r="E59" s="125">
        <v>5</v>
      </c>
      <c r="F59" s="125">
        <v>1</v>
      </c>
      <c r="G59" s="72">
        <v>70</v>
      </c>
      <c r="H59" s="125">
        <v>3</v>
      </c>
      <c r="I59" s="125">
        <v>1</v>
      </c>
      <c r="J59" s="72">
        <v>-50</v>
      </c>
      <c r="K59" s="125">
        <f t="shared" si="20"/>
        <v>8</v>
      </c>
      <c r="L59" s="125">
        <f t="shared" si="21"/>
        <v>2</v>
      </c>
      <c r="M59" s="150">
        <f t="shared" si="22"/>
        <v>20</v>
      </c>
      <c r="P59" s="147">
        <f t="shared" si="4"/>
        <v>45997</v>
      </c>
      <c r="Q59" s="63">
        <v>7</v>
      </c>
      <c r="R59" s="64">
        <v>1000</v>
      </c>
      <c r="S59" s="64">
        <v>720</v>
      </c>
      <c r="T59" s="150">
        <f t="shared" si="5"/>
        <v>-280</v>
      </c>
      <c r="V59" s="147">
        <f t="shared" si="6"/>
        <v>45997</v>
      </c>
      <c r="W59" s="63">
        <v>3</v>
      </c>
      <c r="X59" s="64">
        <v>410</v>
      </c>
      <c r="Y59" s="64">
        <v>360</v>
      </c>
      <c r="Z59" s="72">
        <f t="shared" si="14"/>
        <v>-50</v>
      </c>
      <c r="AA59" s="93">
        <v>5</v>
      </c>
      <c r="AB59" s="65">
        <v>650</v>
      </c>
      <c r="AC59" s="142">
        <v>720</v>
      </c>
      <c r="AD59" s="72">
        <f t="shared" si="15"/>
        <v>70</v>
      </c>
      <c r="AE59" s="93">
        <f t="shared" ref="AE59:AE60" si="26">W59+AA59</f>
        <v>8</v>
      </c>
      <c r="AF59" s="65">
        <f t="shared" ref="AF59:AF60" si="27">X59+AB59</f>
        <v>1060</v>
      </c>
      <c r="AG59" s="142">
        <f t="shared" ref="AG59:AG60" si="28">Y59+AC59</f>
        <v>1080</v>
      </c>
      <c r="AH59" s="94">
        <f t="shared" ref="AH59:AH60" si="29">Z59+AD59</f>
        <v>20</v>
      </c>
    </row>
    <row r="60" spans="2:34" ht="18" customHeight="1" x14ac:dyDescent="0.25">
      <c r="D60" s="141">
        <v>45998</v>
      </c>
      <c r="E60" s="125">
        <v>1</v>
      </c>
      <c r="F60" s="125">
        <v>0</v>
      </c>
      <c r="G60" s="72">
        <v>-300</v>
      </c>
      <c r="H60" s="125">
        <v>3</v>
      </c>
      <c r="I60" s="125">
        <v>1</v>
      </c>
      <c r="J60" s="72">
        <v>-32</v>
      </c>
      <c r="K60" s="125">
        <f t="shared" ref="K60:K64" si="30">E60+H60</f>
        <v>4</v>
      </c>
      <c r="L60" s="125">
        <f t="shared" ref="L60:L64" si="31">F60+I60</f>
        <v>1</v>
      </c>
      <c r="M60" s="150">
        <f t="shared" ref="M60:M64" si="32">G60+J60</f>
        <v>-332</v>
      </c>
      <c r="P60" s="147">
        <f t="shared" si="4"/>
        <v>45998</v>
      </c>
      <c r="Q60" s="63">
        <v>5</v>
      </c>
      <c r="R60" s="64">
        <v>700</v>
      </c>
      <c r="S60" s="64">
        <v>367.5</v>
      </c>
      <c r="T60" s="150">
        <f t="shared" si="5"/>
        <v>-332.5</v>
      </c>
      <c r="V60" s="147">
        <f t="shared" si="6"/>
        <v>45998</v>
      </c>
      <c r="W60" s="63">
        <v>3</v>
      </c>
      <c r="X60" s="64">
        <v>400</v>
      </c>
      <c r="Y60" s="64">
        <v>367.5</v>
      </c>
      <c r="Z60" s="72">
        <f t="shared" si="14"/>
        <v>-32.5</v>
      </c>
      <c r="AA60" s="93">
        <v>2</v>
      </c>
      <c r="AB60" s="65">
        <v>300</v>
      </c>
      <c r="AC60" s="142">
        <v>0</v>
      </c>
      <c r="AD60" s="72">
        <f t="shared" si="15"/>
        <v>-300</v>
      </c>
      <c r="AE60" s="93">
        <f t="shared" si="26"/>
        <v>5</v>
      </c>
      <c r="AF60" s="65">
        <f t="shared" si="27"/>
        <v>700</v>
      </c>
      <c r="AG60" s="142">
        <f t="shared" si="28"/>
        <v>367.5</v>
      </c>
      <c r="AH60" s="94">
        <f t="shared" si="29"/>
        <v>-332.5</v>
      </c>
    </row>
    <row r="61" spans="2:34" ht="18" customHeight="1" x14ac:dyDescent="0.25">
      <c r="D61" s="141">
        <v>46004</v>
      </c>
      <c r="E61" s="125">
        <v>5</v>
      </c>
      <c r="F61" s="125">
        <v>0</v>
      </c>
      <c r="G61" s="72">
        <v>-550</v>
      </c>
      <c r="H61" s="125">
        <v>10</v>
      </c>
      <c r="I61" s="125">
        <v>5</v>
      </c>
      <c r="J61" s="72">
        <v>891</v>
      </c>
      <c r="K61" s="125">
        <f t="shared" si="30"/>
        <v>15</v>
      </c>
      <c r="L61" s="125">
        <f t="shared" si="31"/>
        <v>5</v>
      </c>
      <c r="M61" s="150">
        <f t="shared" si="32"/>
        <v>341</v>
      </c>
      <c r="P61" s="147">
        <f t="shared" si="4"/>
        <v>46004</v>
      </c>
      <c r="Q61" s="63">
        <v>15</v>
      </c>
      <c r="R61" s="64">
        <v>1710</v>
      </c>
      <c r="S61" s="64">
        <v>2051</v>
      </c>
      <c r="T61" s="150">
        <f t="shared" ref="T61:T69" si="33">S61-R61</f>
        <v>341</v>
      </c>
      <c r="V61" s="147">
        <f t="shared" si="6"/>
        <v>46004</v>
      </c>
      <c r="W61" s="63">
        <v>10</v>
      </c>
      <c r="X61" s="64">
        <v>1160</v>
      </c>
      <c r="Y61" s="64">
        <v>2051</v>
      </c>
      <c r="Z61" s="72">
        <f t="shared" si="14"/>
        <v>891</v>
      </c>
      <c r="AA61" s="93">
        <v>5</v>
      </c>
      <c r="AB61" s="65">
        <v>550</v>
      </c>
      <c r="AC61" s="142">
        <v>0</v>
      </c>
      <c r="AD61" s="72">
        <f t="shared" si="15"/>
        <v>-550</v>
      </c>
      <c r="AE61" s="93">
        <f t="shared" ref="AE61:AE69" si="34">W61+AA61</f>
        <v>15</v>
      </c>
      <c r="AF61" s="65">
        <f t="shared" ref="AF61:AF69" si="35">X61+AB61</f>
        <v>1710</v>
      </c>
      <c r="AG61" s="142">
        <f t="shared" ref="AG61:AG69" si="36">Y61+AC61</f>
        <v>2051</v>
      </c>
      <c r="AH61" s="94">
        <f t="shared" ref="AH61:AH69" si="37">Z61+AD61</f>
        <v>341</v>
      </c>
    </row>
    <row r="62" spans="2:34" ht="18" customHeight="1" x14ac:dyDescent="0.25">
      <c r="D62" s="141">
        <v>46011</v>
      </c>
      <c r="E62" s="125">
        <v>8</v>
      </c>
      <c r="F62" s="125">
        <v>2</v>
      </c>
      <c r="G62" s="72">
        <v>-185</v>
      </c>
      <c r="H62" s="125">
        <v>8</v>
      </c>
      <c r="I62" s="125">
        <v>1</v>
      </c>
      <c r="J62" s="72">
        <v>-595</v>
      </c>
      <c r="K62" s="125">
        <f t="shared" si="30"/>
        <v>16</v>
      </c>
      <c r="L62" s="125">
        <f t="shared" si="31"/>
        <v>3</v>
      </c>
      <c r="M62" s="150">
        <f t="shared" si="32"/>
        <v>-780</v>
      </c>
      <c r="P62" s="147">
        <f t="shared" si="4"/>
        <v>46011</v>
      </c>
      <c r="Q62" s="63">
        <v>14</v>
      </c>
      <c r="R62" s="64">
        <v>1980</v>
      </c>
      <c r="S62" s="64">
        <v>1500</v>
      </c>
      <c r="T62" s="150">
        <f t="shared" si="33"/>
        <v>-480</v>
      </c>
      <c r="V62" s="147">
        <f t="shared" si="6"/>
        <v>46011</v>
      </c>
      <c r="W62" s="63">
        <v>8</v>
      </c>
      <c r="X62" s="64">
        <v>1180</v>
      </c>
      <c r="Y62" s="64">
        <v>585</v>
      </c>
      <c r="Z62" s="72">
        <f t="shared" si="14"/>
        <v>-595</v>
      </c>
      <c r="AA62" s="93">
        <v>8</v>
      </c>
      <c r="AB62" s="65">
        <v>1100</v>
      </c>
      <c r="AC62" s="142">
        <v>915</v>
      </c>
      <c r="AD62" s="72">
        <f t="shared" ref="AD62:AD69" si="38">AC62-AB62</f>
        <v>-185</v>
      </c>
      <c r="AE62" s="93">
        <f t="shared" si="34"/>
        <v>16</v>
      </c>
      <c r="AF62" s="65">
        <f t="shared" si="35"/>
        <v>2280</v>
      </c>
      <c r="AG62" s="142">
        <f t="shared" si="36"/>
        <v>1500</v>
      </c>
      <c r="AH62" s="94">
        <f t="shared" si="37"/>
        <v>-780</v>
      </c>
    </row>
    <row r="63" spans="2:34" ht="18" customHeight="1" x14ac:dyDescent="0.25">
      <c r="D63" s="141">
        <v>46018</v>
      </c>
      <c r="E63" s="125">
        <v>9</v>
      </c>
      <c r="F63" s="125">
        <v>4</v>
      </c>
      <c r="G63" s="72">
        <v>-5</v>
      </c>
      <c r="H63" s="125">
        <v>6</v>
      </c>
      <c r="I63" s="125">
        <v>2</v>
      </c>
      <c r="J63" s="72">
        <v>95</v>
      </c>
      <c r="K63" s="125">
        <f t="shared" si="30"/>
        <v>15</v>
      </c>
      <c r="L63" s="125">
        <f t="shared" si="31"/>
        <v>6</v>
      </c>
      <c r="M63" s="150">
        <f t="shared" si="32"/>
        <v>90</v>
      </c>
      <c r="P63" s="147">
        <f t="shared" si="4"/>
        <v>46018</v>
      </c>
      <c r="Q63" s="63">
        <v>18</v>
      </c>
      <c r="R63" s="64">
        <v>1800</v>
      </c>
      <c r="S63" s="64">
        <v>1855</v>
      </c>
      <c r="T63" s="150">
        <f t="shared" si="33"/>
        <v>55</v>
      </c>
      <c r="V63" s="147">
        <f t="shared" si="6"/>
        <v>46018</v>
      </c>
      <c r="W63" s="63">
        <v>6</v>
      </c>
      <c r="X63" s="64">
        <v>910</v>
      </c>
      <c r="Y63" s="64">
        <v>1005</v>
      </c>
      <c r="Z63" s="72">
        <f t="shared" si="14"/>
        <v>95</v>
      </c>
      <c r="AA63" s="93">
        <v>9</v>
      </c>
      <c r="AB63" s="65">
        <v>1200</v>
      </c>
      <c r="AC63" s="142">
        <v>1195</v>
      </c>
      <c r="AD63" s="72">
        <f t="shared" si="38"/>
        <v>-5</v>
      </c>
      <c r="AE63" s="93">
        <f t="shared" si="34"/>
        <v>15</v>
      </c>
      <c r="AF63" s="65">
        <f t="shared" si="35"/>
        <v>2110</v>
      </c>
      <c r="AG63" s="142">
        <f t="shared" si="36"/>
        <v>2200</v>
      </c>
      <c r="AH63" s="94">
        <f t="shared" si="37"/>
        <v>90</v>
      </c>
    </row>
    <row r="64" spans="2:34" ht="18" customHeight="1" x14ac:dyDescent="0.25">
      <c r="D64" s="141">
        <v>46025</v>
      </c>
      <c r="E64" s="125">
        <v>7</v>
      </c>
      <c r="F64" s="125">
        <v>1</v>
      </c>
      <c r="G64" s="72">
        <v>-550</v>
      </c>
      <c r="H64" s="125">
        <v>10</v>
      </c>
      <c r="I64" s="125">
        <v>3</v>
      </c>
      <c r="J64" s="72">
        <v>260</v>
      </c>
      <c r="K64" s="125">
        <f t="shared" si="30"/>
        <v>17</v>
      </c>
      <c r="L64" s="125">
        <f t="shared" si="31"/>
        <v>4</v>
      </c>
      <c r="M64" s="150">
        <f t="shared" si="32"/>
        <v>-290</v>
      </c>
      <c r="P64" s="147">
        <f t="shared" si="4"/>
        <v>46025</v>
      </c>
      <c r="Q64" s="63">
        <v>15</v>
      </c>
      <c r="R64" s="64">
        <v>1900</v>
      </c>
      <c r="S64" s="64">
        <v>1860</v>
      </c>
      <c r="T64" s="150">
        <f t="shared" si="33"/>
        <v>-40</v>
      </c>
      <c r="V64" s="147">
        <f t="shared" si="6"/>
        <v>46025</v>
      </c>
      <c r="W64" s="63">
        <v>10</v>
      </c>
      <c r="X64" s="64">
        <v>1200</v>
      </c>
      <c r="Y64" s="64">
        <v>1460</v>
      </c>
      <c r="Z64" s="72">
        <f t="shared" si="14"/>
        <v>260</v>
      </c>
      <c r="AA64" s="93">
        <v>7</v>
      </c>
      <c r="AB64" s="65">
        <v>950</v>
      </c>
      <c r="AC64" s="142">
        <v>400</v>
      </c>
      <c r="AD64" s="72">
        <f t="shared" si="38"/>
        <v>-550</v>
      </c>
      <c r="AE64" s="93">
        <f t="shared" si="34"/>
        <v>17</v>
      </c>
      <c r="AF64" s="65">
        <f t="shared" si="35"/>
        <v>2150</v>
      </c>
      <c r="AG64" s="142">
        <f t="shared" si="36"/>
        <v>1860</v>
      </c>
      <c r="AH64" s="94">
        <f t="shared" si="37"/>
        <v>-290</v>
      </c>
    </row>
    <row r="65" spans="4:34" ht="18" customHeight="1" x14ac:dyDescent="0.25">
      <c r="D65" s="141">
        <v>46032</v>
      </c>
      <c r="E65" s="125">
        <v>2</v>
      </c>
      <c r="F65" s="125">
        <v>1</v>
      </c>
      <c r="G65" s="72">
        <v>1000</v>
      </c>
      <c r="H65" s="125">
        <v>10</v>
      </c>
      <c r="I65" s="125">
        <v>2</v>
      </c>
      <c r="J65" s="72">
        <v>-325</v>
      </c>
      <c r="K65" s="125">
        <f t="shared" ref="K65:K69" si="39">E65+H65</f>
        <v>12</v>
      </c>
      <c r="L65" s="125">
        <f t="shared" ref="L65:L69" si="40">F65+I65</f>
        <v>3</v>
      </c>
      <c r="M65" s="150">
        <f t="shared" ref="M65:M69" si="41">G65+J65</f>
        <v>675</v>
      </c>
      <c r="P65" s="147">
        <f t="shared" ref="P65" si="42">D65</f>
        <v>46032</v>
      </c>
      <c r="Q65" s="63">
        <v>12</v>
      </c>
      <c r="R65" s="64">
        <v>1440</v>
      </c>
      <c r="S65" s="64">
        <v>2115</v>
      </c>
      <c r="T65" s="150">
        <f t="shared" ref="T65" si="43">S65-R65</f>
        <v>675</v>
      </c>
      <c r="V65" s="147">
        <f t="shared" ref="V65" si="44">D65</f>
        <v>46032</v>
      </c>
      <c r="W65" s="63">
        <v>10</v>
      </c>
      <c r="X65" s="64">
        <v>1240</v>
      </c>
      <c r="Y65" s="64">
        <v>915</v>
      </c>
      <c r="Z65" s="72">
        <f t="shared" ref="Z65" si="45">Y65-X65</f>
        <v>-325</v>
      </c>
      <c r="AA65" s="93">
        <v>2</v>
      </c>
      <c r="AB65" s="65">
        <v>200</v>
      </c>
      <c r="AC65" s="142">
        <v>1200</v>
      </c>
      <c r="AD65" s="72">
        <f t="shared" ref="AD65" si="46">AC65-AB65</f>
        <v>1000</v>
      </c>
      <c r="AE65" s="93">
        <f t="shared" ref="AE65" si="47">W65+AA65</f>
        <v>12</v>
      </c>
      <c r="AF65" s="65">
        <f t="shared" ref="AF65" si="48">X65+AB65</f>
        <v>1440</v>
      </c>
      <c r="AG65" s="142">
        <f t="shared" ref="AG65" si="49">Y65+AC65</f>
        <v>2115</v>
      </c>
      <c r="AH65" s="94">
        <f t="shared" ref="AH65" si="50">Z65+AD65</f>
        <v>675</v>
      </c>
    </row>
    <row r="66" spans="4:34" ht="18" customHeight="1" x14ac:dyDescent="0.25">
      <c r="D66" s="141">
        <v>46039</v>
      </c>
      <c r="E66" s="125">
        <v>3</v>
      </c>
      <c r="F66" s="125">
        <v>0</v>
      </c>
      <c r="G66" s="72">
        <v>-300</v>
      </c>
      <c r="H66" s="125">
        <v>6</v>
      </c>
      <c r="I66" s="125">
        <v>2</v>
      </c>
      <c r="J66" s="72">
        <v>-308</v>
      </c>
      <c r="K66" s="125">
        <f t="shared" si="39"/>
        <v>9</v>
      </c>
      <c r="L66" s="125">
        <f t="shared" si="40"/>
        <v>2</v>
      </c>
      <c r="M66" s="150">
        <f t="shared" si="41"/>
        <v>-608</v>
      </c>
      <c r="P66" s="147">
        <f t="shared" ref="P66:P68" si="51">D66</f>
        <v>46039</v>
      </c>
      <c r="Q66" s="63">
        <v>8</v>
      </c>
      <c r="R66" s="64">
        <v>870</v>
      </c>
      <c r="S66" s="64">
        <v>362.5</v>
      </c>
      <c r="T66" s="150">
        <f t="shared" ref="T66:T68" si="52">S66-R66</f>
        <v>-507.5</v>
      </c>
      <c r="V66" s="147">
        <f t="shared" ref="V66:V68" si="53">D66</f>
        <v>46039</v>
      </c>
      <c r="W66" s="63">
        <v>6</v>
      </c>
      <c r="X66" s="64">
        <v>670</v>
      </c>
      <c r="Y66" s="64">
        <v>362.5</v>
      </c>
      <c r="Z66" s="72">
        <f t="shared" ref="Z66:Z68" si="54">Y66-X66</f>
        <v>-307.5</v>
      </c>
      <c r="AA66" s="93">
        <v>3</v>
      </c>
      <c r="AB66" s="65">
        <v>300</v>
      </c>
      <c r="AC66" s="142">
        <v>0</v>
      </c>
      <c r="AD66" s="72">
        <f t="shared" ref="AD66:AD68" si="55">AC66-AB66</f>
        <v>-300</v>
      </c>
      <c r="AE66" s="93">
        <f t="shared" ref="AE66:AE68" si="56">W66+AA66</f>
        <v>9</v>
      </c>
      <c r="AF66" s="65">
        <f t="shared" ref="AF66:AF68" si="57">X66+AB66</f>
        <v>970</v>
      </c>
      <c r="AG66" s="142">
        <f t="shared" ref="AG66:AG68" si="58">Y66+AC66</f>
        <v>362.5</v>
      </c>
      <c r="AH66" s="94">
        <f t="shared" ref="AH66:AH68" si="59">Z66+AD66</f>
        <v>-607.5</v>
      </c>
    </row>
    <row r="67" spans="4:34" ht="18" customHeight="1" x14ac:dyDescent="0.25">
      <c r="D67" s="141">
        <v>46046</v>
      </c>
      <c r="E67" s="125">
        <v>5</v>
      </c>
      <c r="F67" s="125">
        <v>1</v>
      </c>
      <c r="G67" s="72">
        <v>-265</v>
      </c>
      <c r="H67" s="125">
        <v>12</v>
      </c>
      <c r="I67" s="125">
        <v>2</v>
      </c>
      <c r="J67" s="72">
        <v>-680</v>
      </c>
      <c r="K67" s="125">
        <f t="shared" ref="K67:K68" si="60">E67+H67</f>
        <v>17</v>
      </c>
      <c r="L67" s="125">
        <f t="shared" ref="L67:L68" si="61">F67+I67</f>
        <v>3</v>
      </c>
      <c r="M67" s="150">
        <f t="shared" ref="M67:M68" si="62">G67+J67</f>
        <v>-945</v>
      </c>
      <c r="P67" s="147">
        <f t="shared" si="51"/>
        <v>46046</v>
      </c>
      <c r="Q67" s="63">
        <v>14</v>
      </c>
      <c r="R67" s="64">
        <v>2000</v>
      </c>
      <c r="S67" s="64">
        <v>1565</v>
      </c>
      <c r="T67" s="150">
        <f t="shared" si="52"/>
        <v>-435</v>
      </c>
      <c r="V67" s="147">
        <f t="shared" si="53"/>
        <v>46046</v>
      </c>
      <c r="W67" s="63">
        <v>12</v>
      </c>
      <c r="X67" s="64">
        <v>1660</v>
      </c>
      <c r="Y67" s="64">
        <v>980</v>
      </c>
      <c r="Z67" s="72">
        <f t="shared" si="54"/>
        <v>-680</v>
      </c>
      <c r="AA67" s="93">
        <v>5</v>
      </c>
      <c r="AB67" s="65">
        <v>850</v>
      </c>
      <c r="AC67" s="142">
        <v>585</v>
      </c>
      <c r="AD67" s="72">
        <f t="shared" si="55"/>
        <v>-265</v>
      </c>
      <c r="AE67" s="93">
        <f t="shared" si="56"/>
        <v>17</v>
      </c>
      <c r="AF67" s="65">
        <f t="shared" si="57"/>
        <v>2510</v>
      </c>
      <c r="AG67" s="142">
        <f t="shared" si="58"/>
        <v>1565</v>
      </c>
      <c r="AH67" s="94">
        <f t="shared" si="59"/>
        <v>-945</v>
      </c>
    </row>
    <row r="68" spans="4:34" ht="18" customHeight="1" x14ac:dyDescent="0.25">
      <c r="D68" s="141">
        <v>46053</v>
      </c>
      <c r="E68" s="125">
        <v>7</v>
      </c>
      <c r="F68" s="125">
        <v>2</v>
      </c>
      <c r="G68" s="72">
        <v>0</v>
      </c>
      <c r="H68" s="125">
        <v>11</v>
      </c>
      <c r="I68" s="125">
        <v>2</v>
      </c>
      <c r="J68" s="72">
        <v>-452</v>
      </c>
      <c r="K68" s="125">
        <f t="shared" si="60"/>
        <v>18</v>
      </c>
      <c r="L68" s="125">
        <f t="shared" si="61"/>
        <v>4</v>
      </c>
      <c r="M68" s="150">
        <f t="shared" si="62"/>
        <v>-452</v>
      </c>
      <c r="P68" s="147">
        <f t="shared" si="51"/>
        <v>46053</v>
      </c>
      <c r="Q68" s="63">
        <v>18</v>
      </c>
      <c r="R68" s="64">
        <v>2100</v>
      </c>
      <c r="S68" s="64">
        <v>1648</v>
      </c>
      <c r="T68" s="150">
        <f t="shared" si="52"/>
        <v>-452</v>
      </c>
      <c r="V68" s="147">
        <f t="shared" si="53"/>
        <v>46053</v>
      </c>
      <c r="W68" s="63">
        <v>11</v>
      </c>
      <c r="X68" s="64">
        <v>1400</v>
      </c>
      <c r="Y68" s="64">
        <v>948</v>
      </c>
      <c r="Z68" s="72">
        <f t="shared" si="54"/>
        <v>-452</v>
      </c>
      <c r="AA68" s="93">
        <v>7</v>
      </c>
      <c r="AB68" s="65">
        <v>700</v>
      </c>
      <c r="AC68" s="142">
        <v>700</v>
      </c>
      <c r="AD68" s="72">
        <f t="shared" si="55"/>
        <v>0</v>
      </c>
      <c r="AE68" s="93">
        <f t="shared" si="56"/>
        <v>18</v>
      </c>
      <c r="AF68" s="65">
        <f t="shared" si="57"/>
        <v>2100</v>
      </c>
      <c r="AG68" s="142">
        <f t="shared" si="58"/>
        <v>1648</v>
      </c>
      <c r="AH68" s="94">
        <f t="shared" si="59"/>
        <v>-452</v>
      </c>
    </row>
    <row r="69" spans="4:34" ht="18" customHeight="1" x14ac:dyDescent="0.25">
      <c r="D69" s="141">
        <v>46060</v>
      </c>
      <c r="E69" s="125">
        <v>7</v>
      </c>
      <c r="F69" s="125">
        <v>3</v>
      </c>
      <c r="G69" s="72">
        <v>435</v>
      </c>
      <c r="H69" s="125">
        <v>12</v>
      </c>
      <c r="I69" s="125">
        <v>6</v>
      </c>
      <c r="J69" s="72">
        <v>1368</v>
      </c>
      <c r="K69" s="125">
        <f t="shared" si="39"/>
        <v>19</v>
      </c>
      <c r="L69" s="125">
        <f t="shared" si="40"/>
        <v>9</v>
      </c>
      <c r="M69" s="150">
        <f t="shared" si="41"/>
        <v>1803</v>
      </c>
      <c r="P69" s="147">
        <f t="shared" si="4"/>
        <v>46060</v>
      </c>
      <c r="Q69" s="63">
        <v>16</v>
      </c>
      <c r="R69" s="64">
        <v>2150</v>
      </c>
      <c r="S69" s="64">
        <v>3268</v>
      </c>
      <c r="T69" s="150">
        <f t="shared" si="33"/>
        <v>1118</v>
      </c>
      <c r="V69" s="147">
        <f t="shared" si="6"/>
        <v>46060</v>
      </c>
      <c r="W69" s="63">
        <v>12</v>
      </c>
      <c r="X69" s="64">
        <v>1520</v>
      </c>
      <c r="Y69" s="64">
        <v>2888</v>
      </c>
      <c r="Z69" s="72">
        <f t="shared" si="14"/>
        <v>1368</v>
      </c>
      <c r="AA69" s="93">
        <v>7</v>
      </c>
      <c r="AB69" s="65">
        <v>950</v>
      </c>
      <c r="AC69" s="142">
        <v>1385</v>
      </c>
      <c r="AD69" s="72">
        <f t="shared" si="38"/>
        <v>435</v>
      </c>
      <c r="AE69" s="93">
        <f t="shared" si="34"/>
        <v>19</v>
      </c>
      <c r="AF69" s="65">
        <f t="shared" si="35"/>
        <v>2470</v>
      </c>
      <c r="AG69" s="142">
        <f t="shared" si="36"/>
        <v>4273</v>
      </c>
      <c r="AH69" s="94">
        <f t="shared" si="37"/>
        <v>1803</v>
      </c>
    </row>
    <row r="70" spans="4:34" ht="5.25" customHeight="1" x14ac:dyDescent="0.25">
      <c r="D70" s="126"/>
      <c r="E70" s="127"/>
      <c r="F70" s="127"/>
      <c r="G70" s="127"/>
      <c r="H70" s="127"/>
      <c r="I70" s="127"/>
      <c r="J70" s="128"/>
      <c r="K70" s="127"/>
      <c r="L70" s="127"/>
      <c r="M70" s="128"/>
      <c r="P70" s="101"/>
      <c r="Q70" s="39"/>
      <c r="R70" s="42"/>
      <c r="S70" s="42"/>
      <c r="T70" s="102"/>
      <c r="V70" s="78"/>
      <c r="W70" s="60"/>
      <c r="X70" s="60"/>
      <c r="Y70" s="61"/>
      <c r="Z70" s="79"/>
      <c r="AA70" s="95"/>
      <c r="AB70" s="49"/>
      <c r="AC70" s="49"/>
      <c r="AD70" s="96"/>
      <c r="AE70" s="95"/>
      <c r="AF70" s="49"/>
      <c r="AG70" s="49"/>
      <c r="AH70" s="96"/>
    </row>
    <row r="71" spans="4:34" ht="24" customHeight="1" thickBot="1" x14ac:dyDescent="0.3">
      <c r="D71" s="129" t="s">
        <v>506</v>
      </c>
      <c r="E71" s="130">
        <f t="shared" ref="E71:M71" si="63">SUBTOTAL(9,(E8:E70))</f>
        <v>135</v>
      </c>
      <c r="F71" s="130">
        <f t="shared" si="63"/>
        <v>40</v>
      </c>
      <c r="G71" s="155">
        <f t="shared" si="63"/>
        <v>1090</v>
      </c>
      <c r="H71" s="130">
        <f t="shared" si="63"/>
        <v>164</v>
      </c>
      <c r="I71" s="130">
        <f t="shared" si="63"/>
        <v>50</v>
      </c>
      <c r="J71" s="155">
        <f t="shared" si="63"/>
        <v>2413</v>
      </c>
      <c r="K71" s="130">
        <f t="shared" si="63"/>
        <v>299</v>
      </c>
      <c r="L71" s="130">
        <f t="shared" si="63"/>
        <v>90</v>
      </c>
      <c r="M71" s="107">
        <f t="shared" si="63"/>
        <v>3503</v>
      </c>
      <c r="P71" s="103" t="s">
        <v>519</v>
      </c>
      <c r="Q71" s="81">
        <f>SUBTOTAL(9,Q7:Q69)</f>
        <v>274</v>
      </c>
      <c r="R71" s="81">
        <f>SUBTOTAL(9,R7:R69)</f>
        <v>34450</v>
      </c>
      <c r="S71" s="81">
        <f>SUBTOTAL(9,S7:S69)</f>
        <v>38708</v>
      </c>
      <c r="T71" s="107">
        <f>SUBTOTAL(9,T7:T69)</f>
        <v>4258</v>
      </c>
      <c r="V71" s="80" t="s">
        <v>519</v>
      </c>
      <c r="W71" s="81">
        <f t="shared" ref="W71:AH71" si="64">SUBTOTAL(9,W7:W69)</f>
        <v>164</v>
      </c>
      <c r="X71" s="81">
        <f t="shared" si="64"/>
        <v>21150</v>
      </c>
      <c r="Y71" s="81">
        <f t="shared" si="64"/>
        <v>23563</v>
      </c>
      <c r="Z71" s="82">
        <f t="shared" si="64"/>
        <v>2413</v>
      </c>
      <c r="AA71" s="81">
        <f t="shared" si="64"/>
        <v>140</v>
      </c>
      <c r="AB71" s="81">
        <f t="shared" si="64"/>
        <v>18150</v>
      </c>
      <c r="AC71" s="81">
        <f t="shared" si="64"/>
        <v>19240</v>
      </c>
      <c r="AD71" s="82">
        <f t="shared" si="64"/>
        <v>1090</v>
      </c>
      <c r="AE71" s="81">
        <f t="shared" si="64"/>
        <v>304</v>
      </c>
      <c r="AF71" s="81">
        <f t="shared" si="64"/>
        <v>39300</v>
      </c>
      <c r="AG71" s="81">
        <f t="shared" si="64"/>
        <v>42803</v>
      </c>
      <c r="AH71" s="107">
        <f t="shared" si="64"/>
        <v>3503</v>
      </c>
    </row>
    <row r="72" spans="4:34" ht="6" customHeight="1" x14ac:dyDescent="0.25">
      <c r="T72" s="131"/>
      <c r="Z72" s="131"/>
      <c r="AD72" s="131"/>
      <c r="AH72" s="131"/>
    </row>
    <row r="73" spans="4:34" s="132" customFormat="1" ht="15.75" thickBot="1" x14ac:dyDescent="0.3">
      <c r="S73" s="133"/>
      <c r="T73" s="134">
        <f>T71/R71</f>
        <v>0.12359941944847605</v>
      </c>
      <c r="U73" s="133"/>
      <c r="V73" s="133"/>
      <c r="W73" s="133"/>
      <c r="X73" s="133"/>
      <c r="Y73" s="133"/>
      <c r="Z73" s="134">
        <f>Z71/X71</f>
        <v>0.11408983451536643</v>
      </c>
      <c r="AA73" s="133"/>
      <c r="AB73" s="133"/>
      <c r="AC73" s="133"/>
      <c r="AD73" s="134">
        <f>AD71/AB71</f>
        <v>6.005509641873278E-2</v>
      </c>
      <c r="AE73" s="133"/>
      <c r="AF73" s="133"/>
      <c r="AG73" s="133"/>
      <c r="AH73" s="134">
        <f>AH71/AF71</f>
        <v>8.913486005089058E-2</v>
      </c>
    </row>
    <row r="74" spans="4:34" x14ac:dyDescent="0.25">
      <c r="E74" s="182" t="s">
        <v>651</v>
      </c>
      <c r="F74" s="183">
        <f>F71/E71</f>
        <v>0.29629629629629628</v>
      </c>
      <c r="G74" s="184"/>
      <c r="H74" s="184"/>
      <c r="I74" s="183">
        <f>I71/H71</f>
        <v>0.3048780487804878</v>
      </c>
      <c r="J74" s="184"/>
      <c r="K74" s="182"/>
      <c r="L74" s="183">
        <f>L71/K71</f>
        <v>0.30100334448160537</v>
      </c>
    </row>
  </sheetData>
  <autoFilter ref="D7:M69" xr:uid="{9D7A9A90-2AD7-4A4C-935C-6622ACECDFAB}">
    <filterColumn colId="0">
      <filters>
        <dateGroupItem year="2026" dateTimeGrouping="year"/>
        <dateGroupItem year="2025" month="9" day="26" dateTimeGrouping="day"/>
        <dateGroupItem year="2025" month="9" day="27" dateTimeGrouping="day"/>
        <dateGroupItem year="2025" month="10" dateTimeGrouping="month"/>
        <dateGroupItem year="2025" month="11" dateTimeGrouping="month"/>
        <dateGroupItem year="2025" month="12" dateTimeGrouping="month"/>
      </filters>
    </filterColumn>
  </autoFilter>
  <mergeCells count="7">
    <mergeCell ref="AA6:AD6"/>
    <mergeCell ref="AE6:AH6"/>
    <mergeCell ref="E6:G6"/>
    <mergeCell ref="H6:J6"/>
    <mergeCell ref="K6:M6"/>
    <mergeCell ref="P6:T6"/>
    <mergeCell ref="V6:Z6"/>
  </mergeCells>
  <conditionalFormatting sqref="G8:G69 T8:T71 Z8:Z71 AD8:AD71 AH8:AH71">
    <cfRule type="cellIs" dxfId="12" priority="9" operator="greaterThan">
      <formula>0</formula>
    </cfRule>
    <cfRule type="cellIs" dxfId="11" priority="10" operator="lessThan">
      <formula>0</formula>
    </cfRule>
  </conditionalFormatting>
  <conditionalFormatting sqref="G71">
    <cfRule type="cellIs" dxfId="10" priority="15" operator="greaterThan">
      <formula>0</formula>
    </cfRule>
    <cfRule type="cellIs" dxfId="9" priority="16" operator="lessThan">
      <formula>0</formula>
    </cfRule>
  </conditionalFormatting>
  <conditionalFormatting sqref="J8:J69">
    <cfRule type="cellIs" dxfId="8" priority="1" operator="greaterThan">
      <formula>0</formula>
    </cfRule>
    <cfRule type="cellIs" dxfId="7" priority="2" operator="lessThan">
      <formula>0</formula>
    </cfRule>
  </conditionalFormatting>
  <conditionalFormatting sqref="J71">
    <cfRule type="cellIs" dxfId="6" priority="13" operator="greaterThan">
      <formula>0</formula>
    </cfRule>
    <cfRule type="cellIs" dxfId="5" priority="14" operator="lessThan">
      <formula>0</formula>
    </cfRule>
  </conditionalFormatting>
  <conditionalFormatting sqref="M8:M69">
    <cfRule type="cellIs" dxfId="4" priority="3" operator="greaterThan">
      <formula>0</formula>
    </cfRule>
    <cfRule type="cellIs" dxfId="3" priority="4" operator="lessThan">
      <formula>0</formula>
    </cfRule>
  </conditionalFormatting>
  <conditionalFormatting sqref="M70">
    <cfRule type="cellIs" dxfId="2" priority="43" operator="lessThan">
      <formula>0</formula>
    </cfRule>
  </conditionalFormatting>
  <conditionalFormatting sqref="M71">
    <cfRule type="cellIs" dxfId="1" priority="11" operator="greaterThan">
      <formula>0</formula>
    </cfRule>
    <cfRule type="cellIs" dxfId="0" priority="12" operator="lessThan">
      <formula>0</formula>
    </cfRule>
  </conditionalFormatting>
  <pageMargins left="0.70866141732283472" right="0.70866141732283472" top="0.55118110236220474" bottom="0.55118110236220474" header="0.31496062992125984" footer="0.31496062992125984"/>
  <pageSetup scale="33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Nat and Elite Combo New Algo</vt:lpstr>
      <vt:lpstr>Pivot Nat plus E-Combo</vt:lpstr>
      <vt:lpstr>Nat v E-Combo 2025</vt:lpstr>
      <vt:lpstr>'Nat and Elite Combo New Algo'!Print_Titles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Taylor</dc:creator>
  <cp:lastModifiedBy>Elite Racing</cp:lastModifiedBy>
  <cp:lastPrinted>2026-01-11T00:19:49Z</cp:lastPrinted>
  <dcterms:created xsi:type="dcterms:W3CDTF">2023-04-04T23:58:10Z</dcterms:created>
  <dcterms:modified xsi:type="dcterms:W3CDTF">2026-02-07T23:36:56Z</dcterms:modified>
</cp:coreProperties>
</file>